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al\SFC\early and final returns\sfc er 201617\"/>
    </mc:Choice>
  </mc:AlternateContent>
  <bookViews>
    <workbookView xWindow="1500" yWindow="4110" windowWidth="15480" windowHeight="6000" activeTab="1"/>
  </bookViews>
  <sheets>
    <sheet name="Contents" sheetId="47" r:id="rId1"/>
    <sheet name="Table 1 (Main)" sheetId="34" r:id="rId2"/>
    <sheet name="Table 2a (ITE)" sheetId="39" r:id="rId3"/>
    <sheet name="Table 2b (TQFE)" sheetId="13" r:id="rId4"/>
    <sheet name="Table 2c (Catholic ITE)" sheetId="14" r:id="rId5"/>
    <sheet name="Table 2d PGDE Subjects" sheetId="46" r:id="rId6"/>
    <sheet name="Table 3 (Med, Dent)" sheetId="15" r:id="rId7"/>
    <sheet name="Table 4a (Cont Nre and Mid)" sheetId="48" r:id="rId8"/>
    <sheet name="Table 4b (Cont 4 Year Nurse)" sheetId="41" r:id="rId9"/>
    <sheet name="Table 5a (Widen Access FPs)" sheetId="40" r:id="rId10"/>
    <sheet name="Table 5b (Artic FPs)" sheetId="42" r:id="rId11"/>
    <sheet name="Table 5c (UG Skills FPs)" sheetId="50" r:id="rId12"/>
    <sheet name="Table 5d (TPG FPs)" sheetId="53" r:id="rId13"/>
    <sheet name="Table 5e (Other Add FPs)" sheetId="45" r:id="rId14"/>
    <sheet name="Table 5f (ESF DSW) " sheetId="51" r:id="rId15"/>
    <sheet name="Table 6 (Care Experienced)" sheetId="52" r:id="rId16"/>
    <sheet name="Monitoring" sheetId="36" r:id="rId17"/>
    <sheet name="Background Data" sheetId="49" state="hidden" r:id="rId18"/>
  </sheets>
  <definedNames>
    <definedName name="Consol_Tol_FTE">Monitoring!$C$64</definedName>
    <definedName name="Consol_Tol_Per">Monitoring!$C$63</definedName>
    <definedName name="Controlled_Tol">Monitoring!$C$61</definedName>
    <definedName name="Early_Stats_Last_Year">'Background Data'!$A$73:$BM$104</definedName>
    <definedName name="Final_Figures_Last_Year">'Background Data'!$A$118:$BM$149</definedName>
    <definedName name="HTML_CodePage" hidden="1">1252</definedName>
    <definedName name="HTML_Control" localSheetId="11" hidden="1">{"'Page1'!$E$11:$AJ$51","'Page1'!$A$1"}</definedName>
    <definedName name="HTML_Control" hidden="1">{"'Page1'!$E$11:$AJ$51","'Page1'!$A$1"}</definedName>
    <definedName name="HTML_Description" hidden="1">""</definedName>
    <definedName name="HTML_Email" hidden="1">""</definedName>
    <definedName name="HTML_Header" hidden="1">"Page1"</definedName>
    <definedName name="HTML_LastUpdate" hidden="1">"07/10/1999"</definedName>
    <definedName name="HTML_LineAfter" hidden="1">TRUE</definedName>
    <definedName name="HTML_LineBefore" hidden="1">TRUE</definedName>
    <definedName name="HTML_Name" hidden="1">"ISU"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"CONVFACT"</definedName>
    <definedName name="Inst_FPs">'Background Data'!$A$41:$AN$59</definedName>
    <definedName name="Inst_Tables">'Background Data'!$A$11:$R$30</definedName>
    <definedName name="Intake_inconsistent">'Table 2a (ITE)'!$AF$11</definedName>
    <definedName name="Intake_missing">'Table 2a (ITE)'!$AF$12</definedName>
    <definedName name="Intake_too_high" localSheetId="2">'Table 2a (ITE)'!$AF$11</definedName>
    <definedName name="Non_controlled_Tol">Monitoring!$C$62</definedName>
    <definedName name="Only_intake_recorded">'Table 2a (ITE)'!$AF$14</definedName>
    <definedName name="_xlnm.Print_Area" localSheetId="0">Contents!$A$1:$E$24</definedName>
    <definedName name="_xlnm.Print_Area" localSheetId="16">Monitoring!$B$1:$J$58</definedName>
    <definedName name="_xlnm.Print_Area" localSheetId="1">'Table 1 (Main)'!$A$1:$AO$50</definedName>
    <definedName name="_xlnm.Print_Area" localSheetId="2">'Table 2a (ITE)'!$A$2:$N$33</definedName>
    <definedName name="_xlnm.Print_Area" localSheetId="3">'Table 2b (TQFE)'!$A$2:$Q$15</definedName>
    <definedName name="_xlnm.Print_Area" localSheetId="4">'Table 2c (Catholic ITE)'!$A$2:$F$16</definedName>
    <definedName name="_xlnm.Print_Area" localSheetId="5">'Table 2d PGDE Subjects'!$B$2:$Z$33</definedName>
    <definedName name="_xlnm.Print_Area" localSheetId="6">'Table 3 (Med, Dent)'!$A$2:$Q$40</definedName>
    <definedName name="_xlnm.Print_Area" localSheetId="7">'Table 4a (Cont Nre and Mid)'!$A$2:$H$47</definedName>
    <definedName name="_xlnm.Print_Area" localSheetId="8">'Table 4b (Cont 4 Year Nurse)'!$A$2:$E$19</definedName>
    <definedName name="_xlnm.Print_Area" localSheetId="9">'Table 5a (Widen Access FPs)'!$A$2:$E$15</definedName>
    <definedName name="_xlnm.Print_Area" localSheetId="10">'Table 5b (Artic FPs)'!$A$2:$D$28</definedName>
    <definedName name="_xlnm.Print_Area" localSheetId="11">'Table 5c (UG Skills FPs)'!$A$2:$G$36</definedName>
    <definedName name="_xlnm.Print_Area" localSheetId="13">'Table 5e (Other Add FPs)'!$A$2:$G$33</definedName>
    <definedName name="_xlnm.Print_Area" localSheetId="14">'Table 5f (ESF DSW) '!$A$2:$F$32</definedName>
    <definedName name="_xlnm.Print_Area" localSheetId="15">'Table 6 (Care Experienced)'!$A$1:$F$8</definedName>
    <definedName name="_xlnm.Print_Titles" localSheetId="16">Monitoring!$1:$3</definedName>
    <definedName name="_xlnm.Print_Titles" localSheetId="1">'Table 1 (Main)'!$A:$B</definedName>
  </definedNames>
  <calcPr calcId="162913"/>
</workbook>
</file>

<file path=xl/calcChain.xml><?xml version="1.0" encoding="utf-8"?>
<calcChain xmlns="http://schemas.openxmlformats.org/spreadsheetml/2006/main">
  <c r="K44" i="34" l="1"/>
  <c r="J44" i="34"/>
  <c r="F44" i="34"/>
  <c r="C44" i="34"/>
  <c r="D44" i="34"/>
  <c r="AI40" i="34"/>
  <c r="AM40" i="34" s="1"/>
  <c r="AH40" i="34"/>
  <c r="AJ40" i="34" l="1"/>
  <c r="E20" i="39"/>
  <c r="E16" i="39"/>
  <c r="E31" i="39" l="1"/>
  <c r="E29" i="39"/>
  <c r="E28" i="39"/>
  <c r="E27" i="39"/>
  <c r="E24" i="39"/>
  <c r="E23" i="39"/>
  <c r="F18" i="39"/>
  <c r="E17" i="39"/>
  <c r="B3" i="52" l="1"/>
  <c r="F4" i="14"/>
  <c r="B1" i="14" s="1"/>
  <c r="F28" i="45"/>
  <c r="F29" i="45" l="1"/>
  <c r="C19" i="36"/>
  <c r="C58" i="36"/>
  <c r="C56" i="36"/>
  <c r="C54" i="36"/>
  <c r="C53" i="36"/>
  <c r="C51" i="36"/>
  <c r="C49" i="36"/>
  <c r="D26" i="36"/>
  <c r="D24" i="36"/>
  <c r="D23" i="36"/>
  <c r="D19" i="36"/>
  <c r="D16" i="36"/>
  <c r="D15" i="36"/>
  <c r="D14" i="36"/>
  <c r="C27" i="36"/>
  <c r="C24" i="36"/>
  <c r="C23" i="36"/>
  <c r="C22" i="36"/>
  <c r="C21" i="36"/>
  <c r="C20" i="36"/>
  <c r="C17" i="36"/>
  <c r="C16" i="36"/>
  <c r="C15" i="36"/>
  <c r="C14" i="36"/>
  <c r="E30" i="51"/>
  <c r="E31" i="51" s="1"/>
  <c r="D30" i="51"/>
  <c r="C30" i="51"/>
  <c r="O12" i="49"/>
  <c r="O13" i="49"/>
  <c r="O14" i="49"/>
  <c r="O15" i="49"/>
  <c r="O16" i="49"/>
  <c r="O17" i="49"/>
  <c r="O18" i="49"/>
  <c r="O19" i="49"/>
  <c r="O20" i="49"/>
  <c r="E21" i="47" s="1"/>
  <c r="D21" i="47" s="1"/>
  <c r="O21" i="49"/>
  <c r="O22" i="49"/>
  <c r="O23" i="49"/>
  <c r="O24" i="49"/>
  <c r="O25" i="49"/>
  <c r="O26" i="49"/>
  <c r="O27" i="49"/>
  <c r="O28" i="49"/>
  <c r="O29" i="49"/>
  <c r="O11" i="49"/>
  <c r="E29" i="51"/>
  <c r="D29" i="51"/>
  <c r="C29" i="51"/>
  <c r="C4" i="51"/>
  <c r="J61" i="49"/>
  <c r="J60" i="49"/>
  <c r="I60" i="49"/>
  <c r="K60" i="49"/>
  <c r="C60" i="49"/>
  <c r="F60" i="49"/>
  <c r="AK37" i="34"/>
  <c r="AK36" i="34"/>
  <c r="AK35" i="34"/>
  <c r="AK34" i="34"/>
  <c r="AK32" i="34"/>
  <c r="AK31" i="34"/>
  <c r="AK30" i="34"/>
  <c r="AK29" i="34"/>
  <c r="AK23" i="34"/>
  <c r="AK22" i="34"/>
  <c r="AJ18" i="34"/>
  <c r="AQ148" i="49"/>
  <c r="AR148" i="49"/>
  <c r="AA148" i="49"/>
  <c r="W148" i="49"/>
  <c r="S148" i="49"/>
  <c r="M148" i="49"/>
  <c r="AJ148" i="49"/>
  <c r="AI148" i="49"/>
  <c r="AH148" i="49"/>
  <c r="AG148" i="49"/>
  <c r="AF148" i="49"/>
  <c r="AE148" i="49"/>
  <c r="AB148" i="49"/>
  <c r="X148" i="49"/>
  <c r="T148" i="49"/>
  <c r="N148" i="49"/>
  <c r="L148" i="49"/>
  <c r="L149" i="49" s="1"/>
  <c r="K148" i="49"/>
  <c r="J148" i="49"/>
  <c r="I148" i="49"/>
  <c r="G148" i="49"/>
  <c r="D148" i="49"/>
  <c r="C148" i="49"/>
  <c r="K149" i="49" l="1"/>
  <c r="K151" i="49" s="1"/>
  <c r="D149" i="49"/>
  <c r="N149" i="49"/>
  <c r="N151" i="49" s="1"/>
  <c r="AG149" i="49"/>
  <c r="AG151" i="49" s="1"/>
  <c r="H148" i="49"/>
  <c r="H149" i="49" s="1"/>
  <c r="H151" i="49" s="1"/>
  <c r="F4" i="51"/>
  <c r="B1" i="51" s="1"/>
  <c r="M149" i="49"/>
  <c r="M151" i="49" s="1"/>
  <c r="AQ149" i="49"/>
  <c r="AQ151" i="49" s="1"/>
  <c r="C31" i="51"/>
  <c r="D31" i="51"/>
  <c r="AR149" i="49"/>
  <c r="AR151" i="49" s="1"/>
  <c r="AI149" i="49"/>
  <c r="AI151" i="49" s="1"/>
  <c r="AJ149" i="49"/>
  <c r="AJ151" i="49" s="1"/>
  <c r="AH149" i="49"/>
  <c r="AH151" i="49" s="1"/>
  <c r="AF149" i="49"/>
  <c r="AF151" i="49" s="1"/>
  <c r="AE149" i="49"/>
  <c r="AE151" i="49" s="1"/>
  <c r="AB149" i="49"/>
  <c r="AB151" i="49" s="1"/>
  <c r="AA149" i="49"/>
  <c r="AA151" i="49" s="1"/>
  <c r="X149" i="49"/>
  <c r="X151" i="49" s="1"/>
  <c r="W149" i="49"/>
  <c r="W151" i="49" s="1"/>
  <c r="T149" i="49"/>
  <c r="T151" i="49" s="1"/>
  <c r="S149" i="49"/>
  <c r="S151" i="49" s="1"/>
  <c r="L151" i="49"/>
  <c r="J149" i="49"/>
  <c r="J151" i="49" s="1"/>
  <c r="I149" i="49"/>
  <c r="I151" i="49" s="1"/>
  <c r="G149" i="49"/>
  <c r="G151" i="49" s="1"/>
  <c r="C149" i="49"/>
  <c r="C151" i="49" s="1"/>
  <c r="D151" i="49"/>
  <c r="AL148" i="49" l="1"/>
  <c r="Q148" i="49"/>
  <c r="R148" i="49"/>
  <c r="Q149" i="49" l="1"/>
  <c r="AK148" i="49"/>
  <c r="AK149" i="49" s="1"/>
  <c r="AL149" i="49"/>
  <c r="R149" i="49"/>
  <c r="C31" i="50" l="1"/>
  <c r="C30" i="50"/>
  <c r="F30" i="50"/>
  <c r="B4" i="50"/>
  <c r="B4" i="42"/>
  <c r="C32" i="50" l="1"/>
  <c r="F31" i="50" s="1"/>
  <c r="F32" i="50" s="1"/>
  <c r="C23" i="42" l="1"/>
  <c r="F45" i="48"/>
  <c r="E45" i="48"/>
  <c r="D45" i="48"/>
  <c r="C45" i="48"/>
  <c r="F37" i="48"/>
  <c r="E37" i="48"/>
  <c r="D37" i="48"/>
  <c r="C37" i="48"/>
  <c r="C18" i="48"/>
  <c r="F18" i="48"/>
  <c r="E18" i="48"/>
  <c r="D18" i="48"/>
  <c r="G18" i="48" s="1"/>
  <c r="G16" i="48"/>
  <c r="G15" i="48"/>
  <c r="AL151" i="49" l="1"/>
  <c r="AK151" i="49"/>
  <c r="R151" i="49"/>
  <c r="Q151" i="49"/>
  <c r="AI43" i="34"/>
  <c r="AH43" i="34"/>
  <c r="AI42" i="34"/>
  <c r="AH42" i="34"/>
  <c r="AI39" i="34"/>
  <c r="AH39" i="34"/>
  <c r="AI37" i="34"/>
  <c r="AH37" i="34"/>
  <c r="AI36" i="34"/>
  <c r="AH36" i="34"/>
  <c r="AI35" i="34"/>
  <c r="AH35" i="34"/>
  <c r="AI34" i="34"/>
  <c r="AH34" i="34"/>
  <c r="AI32" i="34"/>
  <c r="AH32" i="34"/>
  <c r="AI31" i="34"/>
  <c r="AH31" i="34"/>
  <c r="AI30" i="34"/>
  <c r="AH30" i="34"/>
  <c r="AI29" i="34"/>
  <c r="AH29" i="34"/>
  <c r="AI24" i="34"/>
  <c r="AH24" i="34"/>
  <c r="AI23" i="34"/>
  <c r="AH23" i="34"/>
  <c r="AI22" i="34"/>
  <c r="AH22" i="34"/>
  <c r="AI17" i="34"/>
  <c r="AH17" i="34"/>
  <c r="AI16" i="34"/>
  <c r="AH16" i="34"/>
  <c r="AI13" i="34"/>
  <c r="AH13" i="34"/>
  <c r="AN148" i="49"/>
  <c r="AC148" i="49"/>
  <c r="Y148" i="49"/>
  <c r="AI44" i="34" l="1"/>
  <c r="AH44" i="34"/>
  <c r="V148" i="49"/>
  <c r="V149" i="49" s="1"/>
  <c r="O148" i="49"/>
  <c r="O149" i="49" s="1"/>
  <c r="O151" i="49" s="1"/>
  <c r="Y149" i="49"/>
  <c r="Y151" i="49" s="1"/>
  <c r="AM148" i="49"/>
  <c r="P148" i="49"/>
  <c r="P149" i="49" s="1"/>
  <c r="P151" i="49" s="1"/>
  <c r="Z148" i="49"/>
  <c r="AD148" i="49"/>
  <c r="AD149" i="49" s="1"/>
  <c r="AD151" i="49" s="1"/>
  <c r="U148" i="49"/>
  <c r="AC149" i="49"/>
  <c r="AC151" i="49" s="1"/>
  <c r="AN149" i="49"/>
  <c r="AN151" i="49" s="1"/>
  <c r="N36" i="15"/>
  <c r="N38" i="15" s="1"/>
  <c r="G36" i="15"/>
  <c r="F37" i="15"/>
  <c r="D36" i="15"/>
  <c r="C36" i="15"/>
  <c r="C38" i="15" s="1"/>
  <c r="P23" i="15"/>
  <c r="P18" i="15"/>
  <c r="C23" i="15"/>
  <c r="C18" i="15"/>
  <c r="I32" i="46"/>
  <c r="G32" i="46"/>
  <c r="D32" i="46"/>
  <c r="W15" i="46"/>
  <c r="W14" i="46"/>
  <c r="X14" i="46" s="1"/>
  <c r="W13" i="46"/>
  <c r="C32" i="46"/>
  <c r="D15" i="14"/>
  <c r="C15" i="14"/>
  <c r="E14" i="14"/>
  <c r="E13" i="14"/>
  <c r="S13" i="13"/>
  <c r="P13" i="13"/>
  <c r="O13" i="13"/>
  <c r="D18" i="39"/>
  <c r="C18" i="39"/>
  <c r="F25" i="39"/>
  <c r="D25" i="39"/>
  <c r="C25" i="39"/>
  <c r="M31" i="39"/>
  <c r="M28" i="39"/>
  <c r="M27" i="39"/>
  <c r="M20" i="39"/>
  <c r="M24" i="39"/>
  <c r="M23" i="39"/>
  <c r="M17" i="39"/>
  <c r="M16" i="39"/>
  <c r="E18" i="39" l="1"/>
  <c r="Y13" i="46"/>
  <c r="P24" i="15"/>
  <c r="C24" i="15"/>
  <c r="E15" i="14"/>
  <c r="E25" i="39"/>
  <c r="AB32" i="46" s="1"/>
  <c r="X13" i="46"/>
  <c r="AM149" i="49"/>
  <c r="AM151" i="49" s="1"/>
  <c r="Z149" i="49"/>
  <c r="Z151" i="49" s="1"/>
  <c r="V151" i="49"/>
  <c r="U149" i="49"/>
  <c r="E26" i="36"/>
  <c r="AH43" i="49"/>
  <c r="AH44" i="49"/>
  <c r="AH45" i="49"/>
  <c r="AH46" i="49"/>
  <c r="AH47" i="49"/>
  <c r="AH48" i="49"/>
  <c r="AH49" i="49"/>
  <c r="AH50" i="49"/>
  <c r="AH51" i="49"/>
  <c r="AH52" i="49"/>
  <c r="AH53" i="49"/>
  <c r="AH54" i="49"/>
  <c r="AH55" i="49"/>
  <c r="AH56" i="49"/>
  <c r="AH57" i="49"/>
  <c r="AH58" i="49"/>
  <c r="AH59" i="49"/>
  <c r="AH42" i="49"/>
  <c r="AH41" i="49"/>
  <c r="AG60" i="49"/>
  <c r="C14" i="45"/>
  <c r="C4" i="45"/>
  <c r="C24" i="42"/>
  <c r="C25" i="42" s="1"/>
  <c r="D10" i="40"/>
  <c r="D12" i="40" s="1"/>
  <c r="B4" i="40"/>
  <c r="E4" i="41"/>
  <c r="B1" i="41" s="1"/>
  <c r="C4" i="48"/>
  <c r="F4" i="48"/>
  <c r="C4" i="15"/>
  <c r="F4" i="15"/>
  <c r="C4" i="46"/>
  <c r="AO37" i="34"/>
  <c r="AO36" i="34"/>
  <c r="AO35" i="34"/>
  <c r="AN18" i="34"/>
  <c r="U151" i="49" l="1"/>
  <c r="F148" i="49"/>
  <c r="E148" i="49"/>
  <c r="E149" i="49" s="1"/>
  <c r="E151" i="49" s="1"/>
  <c r="C3" i="34"/>
  <c r="G4" i="13"/>
  <c r="C4" i="13"/>
  <c r="F4" i="39"/>
  <c r="B1" i="39" s="1"/>
  <c r="C4" i="41"/>
  <c r="C4" i="14"/>
  <c r="C4" i="39"/>
  <c r="F149" i="49" l="1"/>
  <c r="F151" i="49" s="1"/>
  <c r="B3" i="47"/>
  <c r="C3" i="36"/>
  <c r="E15" i="47"/>
  <c r="E14" i="47"/>
  <c r="E13" i="47"/>
  <c r="E11" i="47"/>
  <c r="E10" i="47"/>
  <c r="E9" i="47"/>
  <c r="AC60" i="49"/>
  <c r="AB60" i="49"/>
  <c r="D2" i="49"/>
  <c r="AP149" i="49" l="1"/>
  <c r="AP151" i="49" s="1"/>
  <c r="AP148" i="49"/>
  <c r="AO148" i="49"/>
  <c r="Y43" i="34"/>
  <c r="X43" i="34"/>
  <c r="Y42" i="34"/>
  <c r="X42" i="34"/>
  <c r="Y40" i="34"/>
  <c r="X40" i="34"/>
  <c r="Y39" i="34"/>
  <c r="X39" i="34"/>
  <c r="AA37" i="34"/>
  <c r="Y37" i="34"/>
  <c r="X37" i="34"/>
  <c r="AA36" i="34"/>
  <c r="Y36" i="34"/>
  <c r="X36" i="34"/>
  <c r="AA35" i="34"/>
  <c r="Y35" i="34"/>
  <c r="X35" i="34"/>
  <c r="AA34" i="34"/>
  <c r="Y34" i="34"/>
  <c r="X34" i="34"/>
  <c r="AA32" i="34"/>
  <c r="Y32" i="34"/>
  <c r="X32" i="34"/>
  <c r="AA31" i="34"/>
  <c r="Y31" i="34"/>
  <c r="X31" i="34"/>
  <c r="AA30" i="34"/>
  <c r="Y30" i="34"/>
  <c r="X30" i="34"/>
  <c r="AA29" i="34"/>
  <c r="AR103" i="49"/>
  <c r="AQ103" i="49"/>
  <c r="AN103" i="49"/>
  <c r="AN104" i="49" s="1"/>
  <c r="AN106" i="49" s="1"/>
  <c r="AM103" i="49"/>
  <c r="AL103" i="49"/>
  <c r="AK103" i="49"/>
  <c r="AJ103" i="49"/>
  <c r="AJ104" i="49" s="1"/>
  <c r="AJ106" i="49" s="1"/>
  <c r="AI103" i="49"/>
  <c r="AH103" i="49"/>
  <c r="AG103" i="49"/>
  <c r="AF103" i="49"/>
  <c r="AE103" i="49"/>
  <c r="AD103" i="49"/>
  <c r="AC103" i="49"/>
  <c r="AB103" i="49"/>
  <c r="AB104" i="49" s="1"/>
  <c r="AB106" i="49" s="1"/>
  <c r="AA103" i="49"/>
  <c r="Z103" i="49"/>
  <c r="Y103" i="49"/>
  <c r="X103" i="49"/>
  <c r="X104" i="49" s="1"/>
  <c r="X106" i="49" s="1"/>
  <c r="W103" i="49"/>
  <c r="T103" i="49"/>
  <c r="S103" i="49"/>
  <c r="R103" i="49"/>
  <c r="R104" i="49" s="1"/>
  <c r="Q103" i="49"/>
  <c r="P103" i="49"/>
  <c r="O103" i="49"/>
  <c r="N103" i="49"/>
  <c r="N104" i="49" s="1"/>
  <c r="M103" i="49"/>
  <c r="L103" i="49"/>
  <c r="K103" i="49"/>
  <c r="J103" i="49"/>
  <c r="J104" i="49" s="1"/>
  <c r="I103" i="49"/>
  <c r="H103" i="49"/>
  <c r="G103" i="49"/>
  <c r="F103" i="49"/>
  <c r="E103" i="49"/>
  <c r="Y24" i="34"/>
  <c r="X24" i="34"/>
  <c r="AA23" i="34"/>
  <c r="Y23" i="34"/>
  <c r="X23" i="34"/>
  <c r="AA22" i="34"/>
  <c r="Z18" i="34"/>
  <c r="Y17" i="34"/>
  <c r="X17" i="34"/>
  <c r="X16" i="34"/>
  <c r="AR104" i="49"/>
  <c r="AR106" i="49" s="1"/>
  <c r="AQ104" i="49"/>
  <c r="AQ106" i="49" s="1"/>
  <c r="AM104" i="49"/>
  <c r="AM106" i="49" s="1"/>
  <c r="AL104" i="49"/>
  <c r="AI104" i="49"/>
  <c r="AI106" i="49" s="1"/>
  <c r="AH104" i="49"/>
  <c r="AF104" i="49"/>
  <c r="AF106" i="49" s="1"/>
  <c r="AE104" i="49"/>
  <c r="AE106" i="49" s="1"/>
  <c r="AD104" i="49"/>
  <c r="AA104" i="49"/>
  <c r="AA106" i="49" s="1"/>
  <c r="Z104" i="49"/>
  <c r="W104" i="49"/>
  <c r="W106" i="49" s="1"/>
  <c r="X13" i="34"/>
  <c r="T104" i="49"/>
  <c r="T106" i="49" s="1"/>
  <c r="S104" i="49"/>
  <c r="S106" i="49" s="1"/>
  <c r="P104" i="49"/>
  <c r="P106" i="49" s="1"/>
  <c r="O104" i="49"/>
  <c r="O106" i="49" s="1"/>
  <c r="L104" i="49"/>
  <c r="L106" i="49" s="1"/>
  <c r="K104" i="49"/>
  <c r="K106" i="49" s="1"/>
  <c r="H104" i="49"/>
  <c r="H106" i="49" s="1"/>
  <c r="G104" i="49"/>
  <c r="G106" i="49" s="1"/>
  <c r="F104" i="49"/>
  <c r="M61" i="49"/>
  <c r="N61" i="49" s="1"/>
  <c r="AN60" i="49"/>
  <c r="AM60" i="49"/>
  <c r="AL60" i="49"/>
  <c r="AK60" i="49"/>
  <c r="AJ60" i="49"/>
  <c r="AI60" i="49"/>
  <c r="AF60" i="49"/>
  <c r="AE60" i="49"/>
  <c r="AD60" i="49"/>
  <c r="AA60" i="49"/>
  <c r="Y60" i="49"/>
  <c r="X60" i="49"/>
  <c r="W60" i="49"/>
  <c r="V60" i="49"/>
  <c r="U60" i="49"/>
  <c r="T60" i="49"/>
  <c r="S60" i="49"/>
  <c r="R60" i="49"/>
  <c r="Q60" i="49"/>
  <c r="P60" i="49"/>
  <c r="O60" i="49"/>
  <c r="M60" i="49"/>
  <c r="L60" i="49"/>
  <c r="H60" i="49"/>
  <c r="G60" i="49"/>
  <c r="E60" i="49"/>
  <c r="D60" i="49"/>
  <c r="Z59" i="49"/>
  <c r="N59" i="49"/>
  <c r="Z58" i="49"/>
  <c r="N58" i="49"/>
  <c r="Z57" i="49"/>
  <c r="N57" i="49"/>
  <c r="Z56" i="49"/>
  <c r="N56" i="49"/>
  <c r="Z55" i="49"/>
  <c r="N55" i="49"/>
  <c r="Z54" i="49"/>
  <c r="N54" i="49"/>
  <c r="Z53" i="49"/>
  <c r="N53" i="49"/>
  <c r="Z52" i="49"/>
  <c r="N52" i="49"/>
  <c r="Z51" i="49"/>
  <c r="N51" i="49"/>
  <c r="Z50" i="49"/>
  <c r="N50" i="49"/>
  <c r="C37" i="36" s="1"/>
  <c r="Z49" i="49"/>
  <c r="N49" i="49"/>
  <c r="Z48" i="49"/>
  <c r="N48" i="49"/>
  <c r="Z47" i="49"/>
  <c r="N47" i="49"/>
  <c r="Z46" i="49"/>
  <c r="N46" i="49"/>
  <c r="Z45" i="49"/>
  <c r="N45" i="49"/>
  <c r="Z44" i="49"/>
  <c r="N44" i="49"/>
  <c r="Z43" i="49"/>
  <c r="N43" i="49"/>
  <c r="Z42" i="49"/>
  <c r="N42" i="49"/>
  <c r="Z41" i="49"/>
  <c r="N41" i="49"/>
  <c r="N29" i="49"/>
  <c r="M29" i="49"/>
  <c r="L29" i="49"/>
  <c r="K29" i="49"/>
  <c r="J29" i="49"/>
  <c r="F29" i="49"/>
  <c r="N28" i="49"/>
  <c r="M28" i="49"/>
  <c r="L28" i="49"/>
  <c r="K28" i="49"/>
  <c r="J28" i="49"/>
  <c r="F28" i="49"/>
  <c r="N27" i="49"/>
  <c r="M27" i="49"/>
  <c r="L27" i="49"/>
  <c r="K27" i="49"/>
  <c r="J27" i="49"/>
  <c r="F27" i="49"/>
  <c r="N26" i="49"/>
  <c r="M26" i="49"/>
  <c r="L26" i="49"/>
  <c r="K26" i="49"/>
  <c r="J26" i="49"/>
  <c r="F26" i="49"/>
  <c r="N25" i="49"/>
  <c r="M25" i="49"/>
  <c r="L25" i="49"/>
  <c r="K25" i="49"/>
  <c r="J25" i="49"/>
  <c r="F25" i="49"/>
  <c r="N24" i="49"/>
  <c r="M24" i="49"/>
  <c r="L24" i="49"/>
  <c r="K24" i="49"/>
  <c r="J24" i="49"/>
  <c r="F24" i="49"/>
  <c r="N23" i="49"/>
  <c r="M23" i="49"/>
  <c r="L23" i="49"/>
  <c r="K23" i="49"/>
  <c r="J23" i="49"/>
  <c r="F23" i="49"/>
  <c r="N22" i="49"/>
  <c r="M22" i="49"/>
  <c r="L22" i="49"/>
  <c r="K22" i="49"/>
  <c r="J22" i="49"/>
  <c r="F22" i="49"/>
  <c r="N21" i="49"/>
  <c r="M21" i="49"/>
  <c r="L21" i="49"/>
  <c r="K21" i="49"/>
  <c r="J21" i="49"/>
  <c r="F21" i="49"/>
  <c r="N20" i="49"/>
  <c r="E20" i="47" s="1"/>
  <c r="M20" i="49"/>
  <c r="L20" i="49"/>
  <c r="K20" i="49"/>
  <c r="J20" i="49"/>
  <c r="F20" i="49"/>
  <c r="N19" i="49"/>
  <c r="M19" i="49"/>
  <c r="L19" i="49"/>
  <c r="K19" i="49"/>
  <c r="J19" i="49"/>
  <c r="F19" i="49"/>
  <c r="M18" i="49"/>
  <c r="L18" i="49"/>
  <c r="K18" i="49"/>
  <c r="C4" i="42" s="1"/>
  <c r="J18" i="49"/>
  <c r="F18" i="49"/>
  <c r="N17" i="49"/>
  <c r="M17" i="49"/>
  <c r="L17" i="49"/>
  <c r="K17" i="49"/>
  <c r="J17" i="49"/>
  <c r="F17" i="49"/>
  <c r="N16" i="49"/>
  <c r="M16" i="49"/>
  <c r="L16" i="49"/>
  <c r="K16" i="49"/>
  <c r="J16" i="49"/>
  <c r="F16" i="49"/>
  <c r="N15" i="49"/>
  <c r="M15" i="49"/>
  <c r="L15" i="49"/>
  <c r="K15" i="49"/>
  <c r="J15" i="49"/>
  <c r="F15" i="49"/>
  <c r="N14" i="49"/>
  <c r="M14" i="49"/>
  <c r="L14" i="49"/>
  <c r="K14" i="49"/>
  <c r="J14" i="49"/>
  <c r="F14" i="49"/>
  <c r="N13" i="49"/>
  <c r="M13" i="49"/>
  <c r="L13" i="49"/>
  <c r="K13" i="49"/>
  <c r="J13" i="49"/>
  <c r="F13" i="49"/>
  <c r="N12" i="49"/>
  <c r="M12" i="49"/>
  <c r="L12" i="49"/>
  <c r="K12" i="49"/>
  <c r="J12" i="49"/>
  <c r="F12" i="49"/>
  <c r="N11" i="49"/>
  <c r="M11" i="49"/>
  <c r="L11" i="49"/>
  <c r="E18" i="47" s="1"/>
  <c r="K11" i="49"/>
  <c r="E17" i="47" s="1"/>
  <c r="J11" i="49"/>
  <c r="F11" i="49"/>
  <c r="Z43" i="34" l="1"/>
  <c r="AE36" i="34"/>
  <c r="AE37" i="34"/>
  <c r="Y13" i="34"/>
  <c r="Y16" i="34"/>
  <c r="Y22" i="34"/>
  <c r="V103" i="49"/>
  <c r="Y29" i="34"/>
  <c r="Y44" i="34" s="1"/>
  <c r="X22" i="34"/>
  <c r="U103" i="49"/>
  <c r="X29" i="34"/>
  <c r="X44" i="34" s="1"/>
  <c r="AE35" i="34"/>
  <c r="N60" i="49"/>
  <c r="C4" i="40"/>
  <c r="E16" i="47"/>
  <c r="E19" i="47"/>
  <c r="C4" i="50"/>
  <c r="B1" i="50" s="1"/>
  <c r="E4" i="45"/>
  <c r="G4" i="46"/>
  <c r="E12" i="47"/>
  <c r="Z60" i="49"/>
  <c r="D103" i="49"/>
  <c r="AP103" i="49" s="1"/>
  <c r="AD18" i="34"/>
  <c r="C103" i="49"/>
  <c r="AO103" i="49" s="1"/>
  <c r="I104" i="49"/>
  <c r="I106" i="49" s="1"/>
  <c r="M104" i="49"/>
  <c r="M106" i="49" s="1"/>
  <c r="U104" i="49"/>
  <c r="AC104" i="49"/>
  <c r="AC106" i="49" s="1"/>
  <c r="AG104" i="49"/>
  <c r="AG106" i="49" s="1"/>
  <c r="AK104" i="49"/>
  <c r="AK106" i="49" s="1"/>
  <c r="Q104" i="49"/>
  <c r="Q106" i="49" s="1"/>
  <c r="Y104" i="49"/>
  <c r="Y106" i="49" s="1"/>
  <c r="F106" i="49"/>
  <c r="J106" i="49"/>
  <c r="N106" i="49"/>
  <c r="R106" i="49"/>
  <c r="Z106" i="49"/>
  <c r="AD106" i="49"/>
  <c r="AH106" i="49"/>
  <c r="AL106" i="49"/>
  <c r="AO149" i="49"/>
  <c r="AO151" i="49" s="1"/>
  <c r="E104" i="49"/>
  <c r="E106" i="49" s="1"/>
  <c r="D104" i="49"/>
  <c r="V104" i="49" l="1"/>
  <c r="V106" i="49" s="1"/>
  <c r="U106" i="49"/>
  <c r="E14" i="36"/>
  <c r="D106" i="49"/>
  <c r="AP104" i="49"/>
  <c r="AP106" i="49" s="1"/>
  <c r="C104" i="49"/>
  <c r="AO104" i="49" l="1"/>
  <c r="AO106" i="49" s="1"/>
  <c r="C106" i="49"/>
  <c r="C18" i="41" l="1"/>
  <c r="U15" i="48"/>
  <c r="T15" i="48"/>
  <c r="S15" i="48"/>
  <c r="R15" i="48"/>
  <c r="C23" i="48"/>
  <c r="C28" i="48"/>
  <c r="C33" i="48"/>
  <c r="G45" i="48"/>
  <c r="L34" i="15"/>
  <c r="F34" i="15"/>
  <c r="D23" i="15"/>
  <c r="D18" i="15"/>
  <c r="N16" i="15"/>
  <c r="AM16" i="15" s="1"/>
  <c r="I17" i="15"/>
  <c r="I16" i="15"/>
  <c r="P14" i="13"/>
  <c r="O14" i="13"/>
  <c r="X16" i="39"/>
  <c r="W16" i="39"/>
  <c r="M29" i="39"/>
  <c r="I25" i="39"/>
  <c r="H25" i="39"/>
  <c r="D24" i="15" l="1"/>
  <c r="AO16" i="15"/>
  <c r="AN16" i="15"/>
  <c r="M25" i="39"/>
  <c r="C38" i="48"/>
  <c r="C46" i="48" s="1"/>
  <c r="AH16" i="15"/>
  <c r="O16" i="15"/>
  <c r="AI16" i="15"/>
  <c r="AJ16" i="15"/>
  <c r="M34" i="15"/>
  <c r="J15" i="48"/>
  <c r="K15" i="48"/>
  <c r="N16" i="34"/>
  <c r="N13" i="34"/>
  <c r="M13" i="34"/>
  <c r="L43" i="34"/>
  <c r="L42" i="34"/>
  <c r="L40" i="34"/>
  <c r="L39" i="34"/>
  <c r="L37" i="34"/>
  <c r="L35" i="34"/>
  <c r="L34" i="34"/>
  <c r="L32" i="34"/>
  <c r="L31" i="34"/>
  <c r="L30" i="34"/>
  <c r="L29" i="34"/>
  <c r="K25" i="34"/>
  <c r="J25" i="34"/>
  <c r="L24" i="34"/>
  <c r="L23" i="34"/>
  <c r="L22" i="34"/>
  <c r="L17" i="34"/>
  <c r="L19" i="34" s="1"/>
  <c r="L16" i="34"/>
  <c r="L13" i="34"/>
  <c r="K19" i="34"/>
  <c r="J19" i="34"/>
  <c r="J45" i="34" s="1"/>
  <c r="H17" i="34"/>
  <c r="H16" i="34"/>
  <c r="F25" i="34"/>
  <c r="D25" i="34"/>
  <c r="C25" i="34"/>
  <c r="F19" i="34"/>
  <c r="D19" i="34"/>
  <c r="C19" i="34"/>
  <c r="E29" i="34"/>
  <c r="E17" i="34"/>
  <c r="E16" i="34"/>
  <c r="G17" i="34"/>
  <c r="G19" i="34" s="1"/>
  <c r="I13" i="34"/>
  <c r="F45" i="34" l="1"/>
  <c r="I17" i="34"/>
  <c r="O13" i="34"/>
  <c r="H19" i="34"/>
  <c r="I16" i="34"/>
  <c r="I19" i="34" s="1"/>
  <c r="E19" i="34"/>
  <c r="K45" i="34"/>
  <c r="L25" i="34"/>
  <c r="S16" i="15"/>
  <c r="M16" i="34"/>
  <c r="AC40" i="34"/>
  <c r="AH19" i="34" l="1"/>
  <c r="AI19" i="34"/>
  <c r="AL13" i="34"/>
  <c r="AJ13" i="34"/>
  <c r="AM13" i="34"/>
  <c r="AH25" i="34"/>
  <c r="AI25" i="34"/>
  <c r="Z40" i="34"/>
  <c r="AH45" i="34" l="1"/>
  <c r="AI45" i="34"/>
  <c r="AN13" i="34"/>
  <c r="K36" i="48" l="1"/>
  <c r="J36" i="48"/>
  <c r="K31" i="48"/>
  <c r="J31" i="48"/>
  <c r="K26" i="48"/>
  <c r="J26" i="48"/>
  <c r="K21" i="48"/>
  <c r="J21" i="48"/>
  <c r="K16" i="48"/>
  <c r="J16" i="48"/>
  <c r="G44" i="48"/>
  <c r="T44" i="48" s="1"/>
  <c r="G43" i="48"/>
  <c r="U43" i="48" s="1"/>
  <c r="G42" i="48"/>
  <c r="T42" i="48" s="1"/>
  <c r="G41" i="48"/>
  <c r="U41" i="48" s="1"/>
  <c r="G40" i="48"/>
  <c r="T40" i="48" s="1"/>
  <c r="G36" i="48"/>
  <c r="G35" i="48"/>
  <c r="U35" i="48" s="1"/>
  <c r="F33" i="48"/>
  <c r="E33" i="48"/>
  <c r="D33" i="48"/>
  <c r="G32" i="48"/>
  <c r="U32" i="48" s="1"/>
  <c r="G31" i="48"/>
  <c r="G30" i="48"/>
  <c r="U30" i="48" s="1"/>
  <c r="F28" i="48"/>
  <c r="E28" i="48"/>
  <c r="D28" i="48"/>
  <c r="G27" i="48"/>
  <c r="U27" i="48" s="1"/>
  <c r="G26" i="48"/>
  <c r="G25" i="48"/>
  <c r="U25" i="48" s="1"/>
  <c r="F23" i="48"/>
  <c r="F38" i="48" s="1"/>
  <c r="F46" i="48" s="1"/>
  <c r="E23" i="48"/>
  <c r="D23" i="48"/>
  <c r="G22" i="48"/>
  <c r="U22" i="48" s="1"/>
  <c r="G21" i="48"/>
  <c r="G20" i="48"/>
  <c r="U20" i="48" s="1"/>
  <c r="G17" i="48"/>
  <c r="U17" i="48" s="1"/>
  <c r="B1" i="48"/>
  <c r="G28" i="48" l="1"/>
  <c r="D38" i="48"/>
  <c r="D46" i="48" s="1"/>
  <c r="R35" i="48"/>
  <c r="R41" i="48"/>
  <c r="G23" i="48"/>
  <c r="E38" i="48"/>
  <c r="E46" i="48" s="1"/>
  <c r="G46" i="48" s="1"/>
  <c r="G33" i="48"/>
  <c r="R43" i="48"/>
  <c r="T17" i="48"/>
  <c r="K17" i="48" s="1"/>
  <c r="T20" i="48"/>
  <c r="T22" i="48"/>
  <c r="K22" i="48" s="1"/>
  <c r="T25" i="48"/>
  <c r="T27" i="48"/>
  <c r="K27" i="48" s="1"/>
  <c r="T30" i="48"/>
  <c r="T32" i="48"/>
  <c r="K32" i="48" s="1"/>
  <c r="T35" i="48"/>
  <c r="G37" i="48"/>
  <c r="R17" i="48"/>
  <c r="R20" i="48"/>
  <c r="R22" i="48"/>
  <c r="R25" i="48"/>
  <c r="R27" i="48"/>
  <c r="R30" i="48"/>
  <c r="R32" i="48"/>
  <c r="T41" i="48"/>
  <c r="K41" i="48" s="1"/>
  <c r="T43" i="48"/>
  <c r="K30" i="48"/>
  <c r="K20" i="48"/>
  <c r="G38" i="48"/>
  <c r="K25" i="48"/>
  <c r="K35" i="48"/>
  <c r="K43" i="48"/>
  <c r="S40" i="48"/>
  <c r="U40" i="48"/>
  <c r="K40" i="48" s="1"/>
  <c r="S42" i="48"/>
  <c r="U42" i="48"/>
  <c r="K42" i="48" s="1"/>
  <c r="S44" i="48"/>
  <c r="U44" i="48"/>
  <c r="K44" i="48" s="1"/>
  <c r="S17" i="48"/>
  <c r="J17" i="48" s="1"/>
  <c r="S20" i="48"/>
  <c r="S22" i="48"/>
  <c r="J22" i="48" s="1"/>
  <c r="S25" i="48"/>
  <c r="J25" i="48" s="1"/>
  <c r="S27" i="48"/>
  <c r="J27" i="48" s="1"/>
  <c r="S30" i="48"/>
  <c r="S32" i="48"/>
  <c r="J32" i="48" s="1"/>
  <c r="S35" i="48"/>
  <c r="J35" i="48" s="1"/>
  <c r="R40" i="48"/>
  <c r="J40" i="48" s="1"/>
  <c r="S41" i="48"/>
  <c r="R42" i="48"/>
  <c r="J42" i="48" s="1"/>
  <c r="S43" i="48"/>
  <c r="J43" i="48" s="1"/>
  <c r="R44" i="48"/>
  <c r="J44" i="48" s="1"/>
  <c r="D15" i="47"/>
  <c r="D14" i="47"/>
  <c r="D13" i="47"/>
  <c r="D11" i="47"/>
  <c r="D10" i="47"/>
  <c r="D9" i="47"/>
  <c r="X15" i="46"/>
  <c r="W31" i="46"/>
  <c r="X31" i="46" s="1"/>
  <c r="W30" i="46"/>
  <c r="X30" i="46" s="1"/>
  <c r="W29" i="46"/>
  <c r="X29" i="46" s="1"/>
  <c r="W28" i="46"/>
  <c r="X28" i="46" s="1"/>
  <c r="W27" i="46"/>
  <c r="X27" i="46" s="1"/>
  <c r="W26" i="46"/>
  <c r="X26" i="46" s="1"/>
  <c r="W25" i="46"/>
  <c r="X25" i="46" s="1"/>
  <c r="W24" i="46"/>
  <c r="X24" i="46" s="1"/>
  <c r="W23" i="46"/>
  <c r="X23" i="46" s="1"/>
  <c r="W22" i="46"/>
  <c r="X22" i="46" s="1"/>
  <c r="W21" i="46"/>
  <c r="X21" i="46" s="1"/>
  <c r="W20" i="46"/>
  <c r="X20" i="46" s="1"/>
  <c r="W19" i="46"/>
  <c r="X19" i="46" s="1"/>
  <c r="W18" i="46"/>
  <c r="W17" i="46"/>
  <c r="X17" i="46" s="1"/>
  <c r="W16" i="46"/>
  <c r="V32" i="46"/>
  <c r="Y31" i="46" s="1"/>
  <c r="U32" i="46"/>
  <c r="Y30" i="46" s="1"/>
  <c r="T32" i="46"/>
  <c r="Y29" i="46" s="1"/>
  <c r="S32" i="46"/>
  <c r="Y28" i="46" s="1"/>
  <c r="R32" i="46"/>
  <c r="Y27" i="46" s="1"/>
  <c r="Q32" i="46"/>
  <c r="P32" i="46"/>
  <c r="Y25" i="46" s="1"/>
  <c r="O32" i="46"/>
  <c r="Y24" i="46" s="1"/>
  <c r="N32" i="46"/>
  <c r="Y23" i="46" s="1"/>
  <c r="M32" i="46"/>
  <c r="Y22" i="46" s="1"/>
  <c r="L32" i="46"/>
  <c r="Y21" i="46" s="1"/>
  <c r="K32" i="46"/>
  <c r="Y20" i="46" s="1"/>
  <c r="J32" i="46"/>
  <c r="Y19" i="46" s="1"/>
  <c r="H32" i="46"/>
  <c r="Y17" i="46" s="1"/>
  <c r="F32" i="46"/>
  <c r="Y15" i="46" s="1"/>
  <c r="E32" i="46"/>
  <c r="Y14" i="46" s="1"/>
  <c r="J41" i="48" l="1"/>
  <c r="J30" i="48"/>
  <c r="J20" i="48"/>
  <c r="Y26" i="46"/>
  <c r="X16" i="46"/>
  <c r="W32" i="46"/>
  <c r="Y16" i="46"/>
  <c r="X18" i="46"/>
  <c r="Y18" i="46"/>
  <c r="B1" i="13"/>
  <c r="X32" i="46" l="1"/>
  <c r="D12" i="47"/>
  <c r="B1" i="46"/>
  <c r="G38" i="15" l="1"/>
  <c r="K36" i="15"/>
  <c r="K38" i="15" s="1"/>
  <c r="J36" i="15"/>
  <c r="J38" i="15" s="1"/>
  <c r="I36" i="15"/>
  <c r="I38" i="15" s="1"/>
  <c r="H36" i="15"/>
  <c r="H38" i="15" s="1"/>
  <c r="E36" i="15"/>
  <c r="E38" i="15" s="1"/>
  <c r="D38" i="15"/>
  <c r="M18" i="15"/>
  <c r="L18" i="15"/>
  <c r="K18" i="15"/>
  <c r="J18" i="15"/>
  <c r="H18" i="15"/>
  <c r="G18" i="15"/>
  <c r="F18" i="15"/>
  <c r="E18" i="15"/>
  <c r="J12" i="41" l="1"/>
  <c r="E27" i="36"/>
  <c r="B1" i="40" l="1"/>
  <c r="B1" i="42"/>
  <c r="D16" i="47"/>
  <c r="D18" i="47"/>
  <c r="D17" i="47"/>
  <c r="D19" i="47"/>
  <c r="J13" i="41"/>
  <c r="F30" i="45" l="1"/>
  <c r="D20" i="47"/>
  <c r="B1" i="45"/>
  <c r="E14" i="45"/>
  <c r="AC32" i="46" l="1"/>
  <c r="AD32" i="46" s="1"/>
  <c r="I18" i="39"/>
  <c r="H18" i="39"/>
  <c r="M18" i="39" s="1"/>
  <c r="S23" i="34"/>
  <c r="S22" i="34"/>
  <c r="N43" i="34"/>
  <c r="N42" i="34"/>
  <c r="H43" i="34"/>
  <c r="H42" i="34"/>
  <c r="G43" i="34"/>
  <c r="G42" i="34"/>
  <c r="E43" i="34"/>
  <c r="M43" i="34" s="1"/>
  <c r="E42" i="34"/>
  <c r="M42" i="34" s="1"/>
  <c r="N40" i="34"/>
  <c r="N39" i="34"/>
  <c r="E32" i="34"/>
  <c r="H32" i="34" s="1"/>
  <c r="I32" i="34" s="1"/>
  <c r="N37" i="34"/>
  <c r="N36" i="34"/>
  <c r="N35" i="34"/>
  <c r="N34" i="34"/>
  <c r="H34" i="34"/>
  <c r="G37" i="34"/>
  <c r="G36" i="34"/>
  <c r="G35" i="34"/>
  <c r="G34" i="34"/>
  <c r="E37" i="34"/>
  <c r="M37" i="34" s="1"/>
  <c r="E36" i="34"/>
  <c r="M36" i="34" s="1"/>
  <c r="E35" i="34"/>
  <c r="M35" i="34" s="1"/>
  <c r="E34" i="34"/>
  <c r="M34" i="34" s="1"/>
  <c r="N32" i="34"/>
  <c r="N31" i="34"/>
  <c r="N30" i="34"/>
  <c r="N29" i="34"/>
  <c r="H29" i="34"/>
  <c r="H31" i="34"/>
  <c r="H30" i="34"/>
  <c r="G31" i="34"/>
  <c r="G30" i="34"/>
  <c r="G29" i="34"/>
  <c r="N24" i="34"/>
  <c r="N23" i="34"/>
  <c r="N22" i="34"/>
  <c r="R24" i="39"/>
  <c r="R17" i="39"/>
  <c r="G24" i="34"/>
  <c r="G23" i="34"/>
  <c r="G22" i="34"/>
  <c r="E24" i="34"/>
  <c r="E23" i="34"/>
  <c r="E22" i="34"/>
  <c r="N17" i="34"/>
  <c r="N19" i="34" s="1"/>
  <c r="G44" i="34" l="1"/>
  <c r="I42" i="34"/>
  <c r="G25" i="34"/>
  <c r="N44" i="34"/>
  <c r="AO23" i="34"/>
  <c r="AE23" i="34"/>
  <c r="AO22" i="34"/>
  <c r="AE22" i="34"/>
  <c r="I43" i="34"/>
  <c r="I30" i="34"/>
  <c r="E25" i="34"/>
  <c r="N25" i="34"/>
  <c r="O42" i="34"/>
  <c r="O43" i="34"/>
  <c r="O16" i="34"/>
  <c r="I31" i="34"/>
  <c r="I34" i="34"/>
  <c r="S24" i="39"/>
  <c r="T24" i="39" s="1"/>
  <c r="O34" i="34"/>
  <c r="O37" i="34"/>
  <c r="O36" i="34"/>
  <c r="O35" i="34"/>
  <c r="I29" i="34"/>
  <c r="M17" i="34"/>
  <c r="N45" i="34" l="1"/>
  <c r="R20" i="39"/>
  <c r="S20" i="39" s="1"/>
  <c r="T20" i="39" s="1"/>
  <c r="M45" i="48"/>
  <c r="R27" i="39"/>
  <c r="S27" i="39" s="1"/>
  <c r="T27" i="39" s="1"/>
  <c r="R28" i="39"/>
  <c r="S28" i="39" s="1"/>
  <c r="T28" i="39" s="1"/>
  <c r="O17" i="34"/>
  <c r="O19" i="34" s="1"/>
  <c r="M19" i="34"/>
  <c r="R29" i="39"/>
  <c r="S29" i="39" s="1"/>
  <c r="T29" i="39" s="1"/>
  <c r="U16" i="34"/>
  <c r="O45" i="48" l="1"/>
  <c r="N45" i="48"/>
  <c r="H40" i="34"/>
  <c r="I40" i="34" s="1"/>
  <c r="E40" i="34"/>
  <c r="M40" i="34" s="1"/>
  <c r="O40" i="34" s="1"/>
  <c r="AN40" i="34" s="1"/>
  <c r="AL43" i="34" l="1"/>
  <c r="AL40" i="34"/>
  <c r="AB40" i="34"/>
  <c r="U40" i="34"/>
  <c r="AD40" i="34"/>
  <c r="G18" i="41"/>
  <c r="F27" i="36"/>
  <c r="G27" i="36" s="1"/>
  <c r="H27" i="36" s="1"/>
  <c r="I27" i="36" s="1"/>
  <c r="H18" i="41" l="1"/>
  <c r="I18" i="41" s="1"/>
  <c r="Z13" i="34"/>
  <c r="AJ16" i="34"/>
  <c r="AJ17" i="34"/>
  <c r="AJ22" i="34"/>
  <c r="AJ23" i="34"/>
  <c r="AJ30" i="34"/>
  <c r="AM32" i="34"/>
  <c r="AJ34" i="34"/>
  <c r="AJ35" i="34"/>
  <c r="AN35" i="34" s="1"/>
  <c r="AM36" i="34"/>
  <c r="AM37" i="34"/>
  <c r="AJ42" i="34"/>
  <c r="AM43" i="34"/>
  <c r="AL16" i="34"/>
  <c r="AJ24" i="34"/>
  <c r="AJ31" i="34"/>
  <c r="AL36" i="34"/>
  <c r="AJ25" i="34" l="1"/>
  <c r="AJ36" i="34"/>
  <c r="AN36" i="34" s="1"/>
  <c r="AJ43" i="34"/>
  <c r="AN43" i="34" s="1"/>
  <c r="AJ37" i="34"/>
  <c r="AJ32" i="34"/>
  <c r="AJ29" i="34"/>
  <c r="AN16" i="34"/>
  <c r="AJ19" i="34"/>
  <c r="AM16" i="34"/>
  <c r="AJ39" i="34"/>
  <c r="AJ44" i="34" l="1"/>
  <c r="AJ45" i="34" s="1"/>
  <c r="L35" i="15" l="1"/>
  <c r="L36" i="15" s="1"/>
  <c r="L37" i="15"/>
  <c r="F35" i="15"/>
  <c r="F36" i="15" s="1"/>
  <c r="F38" i="15" s="1"/>
  <c r="I22" i="15"/>
  <c r="I21" i="15"/>
  <c r="I20" i="15"/>
  <c r="G23" i="15"/>
  <c r="G24" i="15" s="1"/>
  <c r="H23" i="15"/>
  <c r="H24" i="15" s="1"/>
  <c r="N22" i="15"/>
  <c r="N21" i="15"/>
  <c r="O21" i="15" s="1"/>
  <c r="N20" i="15"/>
  <c r="N17" i="15"/>
  <c r="F23" i="15"/>
  <c r="F24" i="15" s="1"/>
  <c r="J23" i="15"/>
  <c r="J24" i="15" s="1"/>
  <c r="K23" i="15"/>
  <c r="K24" i="15" s="1"/>
  <c r="L23" i="15"/>
  <c r="L24" i="15" s="1"/>
  <c r="M23" i="15"/>
  <c r="M24" i="15" s="1"/>
  <c r="L38" i="15" l="1"/>
  <c r="I18" i="15"/>
  <c r="N18" i="15"/>
  <c r="O22" i="15"/>
  <c r="I23" i="15"/>
  <c r="N23" i="15"/>
  <c r="AO20" i="15"/>
  <c r="AM20" i="15"/>
  <c r="AP20" i="15"/>
  <c r="AN20" i="15"/>
  <c r="AO22" i="15"/>
  <c r="AM22" i="15"/>
  <c r="AP22" i="15"/>
  <c r="AN22" i="15"/>
  <c r="O20" i="15"/>
  <c r="AO21" i="15"/>
  <c r="AM21" i="15"/>
  <c r="AP21" i="15"/>
  <c r="AN21" i="15"/>
  <c r="AP37" i="15"/>
  <c r="AN37" i="15"/>
  <c r="Y37" i="15" s="1"/>
  <c r="AO37" i="15"/>
  <c r="AO35" i="15"/>
  <c r="AP35" i="15"/>
  <c r="AN35" i="15"/>
  <c r="Y35" i="15" s="1"/>
  <c r="AP34" i="15"/>
  <c r="AN34" i="15"/>
  <c r="Y34" i="15" s="1"/>
  <c r="AO34" i="15"/>
  <c r="M37" i="15"/>
  <c r="AK37" i="15"/>
  <c r="AI37" i="15"/>
  <c r="AJ37" i="15"/>
  <c r="AH37" i="15"/>
  <c r="AK34" i="15"/>
  <c r="AI34" i="15"/>
  <c r="AJ34" i="15"/>
  <c r="AH34" i="15"/>
  <c r="M35" i="15"/>
  <c r="M36" i="15" s="1"/>
  <c r="AK35" i="15"/>
  <c r="AI35" i="15"/>
  <c r="AJ35" i="15"/>
  <c r="AH35" i="15"/>
  <c r="S35" i="15" s="1"/>
  <c r="AJ22" i="15"/>
  <c r="AH22" i="15"/>
  <c r="AI22" i="15"/>
  <c r="AK22" i="15"/>
  <c r="AJ21" i="15"/>
  <c r="AH21" i="15"/>
  <c r="AI21" i="15"/>
  <c r="AK21" i="15"/>
  <c r="AJ20" i="15"/>
  <c r="AH20" i="15"/>
  <c r="AK20" i="15"/>
  <c r="AI20" i="15"/>
  <c r="AK16" i="15"/>
  <c r="O17" i="15"/>
  <c r="AP17" i="15"/>
  <c r="AN17" i="15"/>
  <c r="AO17" i="15"/>
  <c r="AM17" i="15"/>
  <c r="AK17" i="15"/>
  <c r="AI17" i="15"/>
  <c r="AJ17" i="15"/>
  <c r="AH17" i="15"/>
  <c r="AP16" i="15"/>
  <c r="S17" i="39"/>
  <c r="T17" i="39" s="1"/>
  <c r="Y17" i="15" l="1"/>
  <c r="S34" i="15"/>
  <c r="S17" i="15"/>
  <c r="Z37" i="15"/>
  <c r="O23" i="15"/>
  <c r="T35" i="15"/>
  <c r="Z17" i="15"/>
  <c r="Z34" i="15"/>
  <c r="S37" i="15"/>
  <c r="T34" i="15"/>
  <c r="T37" i="15"/>
  <c r="T17" i="15"/>
  <c r="T16" i="15"/>
  <c r="I24" i="15"/>
  <c r="O18" i="15"/>
  <c r="M38" i="15"/>
  <c r="N24" i="15"/>
  <c r="Y16" i="15"/>
  <c r="Z16" i="15"/>
  <c r="S21" i="15"/>
  <c r="Y21" i="15"/>
  <c r="Y22" i="15"/>
  <c r="Y20" i="15"/>
  <c r="Z21" i="15"/>
  <c r="Z22" i="15"/>
  <c r="Z20" i="15"/>
  <c r="Z35" i="15"/>
  <c r="S22" i="15"/>
  <c r="S20" i="15"/>
  <c r="T22" i="15"/>
  <c r="T21" i="15"/>
  <c r="T20" i="15"/>
  <c r="O24" i="15" l="1"/>
  <c r="E23" i="15"/>
  <c r="E24" i="15" s="1"/>
  <c r="AC31" i="39" l="1"/>
  <c r="Z31" i="39"/>
  <c r="W31" i="39"/>
  <c r="AA31" i="39"/>
  <c r="AA29" i="39"/>
  <c r="Z29" i="39"/>
  <c r="Y29" i="39"/>
  <c r="W29" i="39"/>
  <c r="X29" i="39"/>
  <c r="AA28" i="39"/>
  <c r="Z28" i="39"/>
  <c r="Y28" i="39"/>
  <c r="W28" i="39"/>
  <c r="X28" i="39"/>
  <c r="Z27" i="39"/>
  <c r="X27" i="39"/>
  <c r="AC24" i="39"/>
  <c r="Z24" i="39"/>
  <c r="X24" i="39"/>
  <c r="AC23" i="39"/>
  <c r="AA23" i="39"/>
  <c r="Z23" i="39"/>
  <c r="Y23" i="39"/>
  <c r="W23" i="39"/>
  <c r="X23" i="39"/>
  <c r="AC20" i="39"/>
  <c r="Z20" i="39"/>
  <c r="X20" i="39"/>
  <c r="AC17" i="39"/>
  <c r="AA17" i="39"/>
  <c r="Z17" i="39"/>
  <c r="Y17" i="39"/>
  <c r="W17" i="39"/>
  <c r="X17" i="39"/>
  <c r="AC16" i="39"/>
  <c r="Z16" i="39"/>
  <c r="P28" i="39" l="1"/>
  <c r="P23" i="39"/>
  <c r="P29" i="39"/>
  <c r="P16" i="39"/>
  <c r="P17" i="39"/>
  <c r="W27" i="39"/>
  <c r="P27" i="39" s="1"/>
  <c r="Y27" i="39"/>
  <c r="AA27" i="39"/>
  <c r="AB27" i="39" s="1"/>
  <c r="AB29" i="39"/>
  <c r="Q29" i="39" s="1"/>
  <c r="AB28" i="39"/>
  <c r="Q28" i="39" s="1"/>
  <c r="AB23" i="39"/>
  <c r="Q23" i="39" s="1"/>
  <c r="AB17" i="39"/>
  <c r="Q17" i="39" s="1"/>
  <c r="AB31" i="39"/>
  <c r="Y16" i="39"/>
  <c r="AA16" i="39"/>
  <c r="AB16" i="39" s="1"/>
  <c r="W20" i="39"/>
  <c r="P20" i="39" s="1"/>
  <c r="Y20" i="39"/>
  <c r="AA20" i="39"/>
  <c r="AB20" i="39" s="1"/>
  <c r="W24" i="39"/>
  <c r="P24" i="39" s="1"/>
  <c r="Y24" i="39"/>
  <c r="AA24" i="39"/>
  <c r="AB24" i="39" s="1"/>
  <c r="X31" i="39"/>
  <c r="P31" i="39" s="1"/>
  <c r="Y31" i="39"/>
  <c r="Q31" i="39" s="1"/>
  <c r="Q27" i="39" l="1"/>
  <c r="Q24" i="39"/>
  <c r="Q20" i="39"/>
  <c r="Q16" i="39"/>
  <c r="AB43" i="34" l="1"/>
  <c r="AB36" i="34"/>
  <c r="AC32" i="34" l="1"/>
  <c r="AC36" i="34"/>
  <c r="AC37" i="34"/>
  <c r="AC43" i="34"/>
  <c r="AC16" i="34"/>
  <c r="AB16" i="34"/>
  <c r="E15" i="36" l="1"/>
  <c r="E16" i="36"/>
  <c r="E17" i="36"/>
  <c r="E19" i="36"/>
  <c r="E20" i="36"/>
  <c r="E21" i="36"/>
  <c r="E22" i="36"/>
  <c r="E23" i="36"/>
  <c r="E24" i="36"/>
  <c r="M22" i="34"/>
  <c r="H22" i="34"/>
  <c r="M23" i="34"/>
  <c r="O23" i="34" s="1"/>
  <c r="U23" i="34" s="1"/>
  <c r="H23" i="34"/>
  <c r="M24" i="34"/>
  <c r="O24" i="34" s="1"/>
  <c r="D37" i="36" s="1"/>
  <c r="E37" i="36" s="1"/>
  <c r="F37" i="36" s="1"/>
  <c r="G37" i="36" s="1"/>
  <c r="H24" i="34"/>
  <c r="AM29" i="34"/>
  <c r="S29" i="34"/>
  <c r="E30" i="34"/>
  <c r="AM30" i="34"/>
  <c r="S30" i="34"/>
  <c r="E31" i="34"/>
  <c r="M31" i="34" s="1"/>
  <c r="AM31" i="34"/>
  <c r="S31" i="34"/>
  <c r="M32" i="34"/>
  <c r="S32" i="34"/>
  <c r="S34" i="34"/>
  <c r="H35" i="34"/>
  <c r="AM35" i="34"/>
  <c r="S35" i="34"/>
  <c r="U35" i="34" s="1"/>
  <c r="H36" i="34"/>
  <c r="I36" i="34" s="1"/>
  <c r="L36" i="34"/>
  <c r="L44" i="34" s="1"/>
  <c r="L45" i="34" s="1"/>
  <c r="S36" i="34"/>
  <c r="U36" i="34" s="1"/>
  <c r="H37" i="34"/>
  <c r="S37" i="34"/>
  <c r="U37" i="34" s="1"/>
  <c r="E39" i="34"/>
  <c r="M39" i="34" s="1"/>
  <c r="O39" i="34" s="1"/>
  <c r="U39" i="34" s="1"/>
  <c r="H39" i="34"/>
  <c r="Y13" i="13"/>
  <c r="T13" i="13"/>
  <c r="U13" i="13"/>
  <c r="V13" i="13"/>
  <c r="W13" i="13"/>
  <c r="X13" i="13"/>
  <c r="Y14" i="13"/>
  <c r="S14" i="13"/>
  <c r="T14" i="13"/>
  <c r="U14" i="13"/>
  <c r="V14" i="13"/>
  <c r="W14" i="13"/>
  <c r="X14" i="13"/>
  <c r="S18" i="13"/>
  <c r="T18" i="13"/>
  <c r="U18" i="13"/>
  <c r="V18" i="13"/>
  <c r="W18" i="13"/>
  <c r="X18" i="13"/>
  <c r="Y18" i="13"/>
  <c r="S19" i="13"/>
  <c r="T19" i="13"/>
  <c r="U19" i="13"/>
  <c r="V19" i="13"/>
  <c r="W19" i="13"/>
  <c r="X19" i="13"/>
  <c r="Y19" i="13"/>
  <c r="B1" i="15"/>
  <c r="Z29" i="34"/>
  <c r="E44" i="34" l="1"/>
  <c r="E45" i="34" s="1"/>
  <c r="AO34" i="34"/>
  <c r="AE34" i="34"/>
  <c r="U35" i="15"/>
  <c r="V35" i="15" s="1"/>
  <c r="AO32" i="34"/>
  <c r="AE32" i="34"/>
  <c r="AO31" i="34"/>
  <c r="AE31" i="34"/>
  <c r="AO30" i="34"/>
  <c r="AE30" i="34"/>
  <c r="AO29" i="34"/>
  <c r="AE29" i="34"/>
  <c r="I37" i="34"/>
  <c r="H44" i="34"/>
  <c r="U34" i="34"/>
  <c r="U17" i="15"/>
  <c r="V17" i="15" s="1"/>
  <c r="W17" i="15" s="1"/>
  <c r="M30" i="34"/>
  <c r="H25" i="34"/>
  <c r="M25" i="34"/>
  <c r="AN39" i="34"/>
  <c r="M38" i="48"/>
  <c r="N38" i="48" s="1"/>
  <c r="AA35" i="15"/>
  <c r="AB35" i="15" s="1"/>
  <c r="AC35" i="15" s="1"/>
  <c r="AA17" i="15"/>
  <c r="AB17" i="15" s="1"/>
  <c r="AC17" i="15" s="1"/>
  <c r="AC39" i="34"/>
  <c r="AM39" i="34"/>
  <c r="D56" i="36"/>
  <c r="E56" i="36" s="1"/>
  <c r="F56" i="36" s="1"/>
  <c r="G56" i="36" s="1"/>
  <c r="AB39" i="34"/>
  <c r="I39" i="34"/>
  <c r="AL39" i="34" s="1"/>
  <c r="I35" i="34"/>
  <c r="M29" i="34"/>
  <c r="M44" i="34" s="1"/>
  <c r="I22" i="34"/>
  <c r="O22" i="34"/>
  <c r="AN22" i="34" s="1"/>
  <c r="AM22" i="34"/>
  <c r="AC22" i="34"/>
  <c r="AC30" i="34"/>
  <c r="AC29" i="34"/>
  <c r="AC35" i="34"/>
  <c r="AC31" i="34"/>
  <c r="AC42" i="34"/>
  <c r="AM42" i="34"/>
  <c r="AB42" i="34"/>
  <c r="AL42" i="34"/>
  <c r="AC34" i="34"/>
  <c r="AM34" i="34"/>
  <c r="O31" i="34"/>
  <c r="O30" i="34"/>
  <c r="AB32" i="34"/>
  <c r="AL32" i="34"/>
  <c r="AN31" i="34"/>
  <c r="AB31" i="34"/>
  <c r="AL31" i="34"/>
  <c r="AB30" i="34"/>
  <c r="AL30" i="34"/>
  <c r="AC24" i="34"/>
  <c r="AM24" i="34"/>
  <c r="AM23" i="34"/>
  <c r="AC23" i="34"/>
  <c r="AC17" i="34"/>
  <c r="AM17" i="34"/>
  <c r="AC13" i="34"/>
  <c r="AB13" i="34"/>
  <c r="D58" i="36"/>
  <c r="E58" i="36" s="1"/>
  <c r="F58" i="36" s="1"/>
  <c r="G58" i="36" s="1"/>
  <c r="F20" i="36"/>
  <c r="G20" i="36" s="1"/>
  <c r="H20" i="36" s="1"/>
  <c r="I20" i="36" s="1"/>
  <c r="I24" i="34"/>
  <c r="I23" i="34"/>
  <c r="R23" i="39" s="1"/>
  <c r="S23" i="39" s="1"/>
  <c r="T23" i="39" s="1"/>
  <c r="AN34" i="34"/>
  <c r="AN24" i="34"/>
  <c r="AN23" i="34"/>
  <c r="AN42" i="34"/>
  <c r="O32" i="34"/>
  <c r="AL19" i="34"/>
  <c r="W35" i="15"/>
  <c r="AM19" i="34"/>
  <c r="AM25" i="34"/>
  <c r="F22" i="36"/>
  <c r="G22" i="36" s="1"/>
  <c r="H22" i="36" s="1"/>
  <c r="I22" i="36" s="1"/>
  <c r="Z36" i="34"/>
  <c r="AD36" i="34" s="1"/>
  <c r="Z30" i="34"/>
  <c r="Y25" i="34"/>
  <c r="Z22" i="34"/>
  <c r="Z42" i="34"/>
  <c r="AD42" i="34" s="1"/>
  <c r="X19" i="34"/>
  <c r="Z37" i="34"/>
  <c r="AD37" i="34" s="1"/>
  <c r="Z35" i="34"/>
  <c r="AD35" i="34" s="1"/>
  <c r="Z34" i="34"/>
  <c r="AD34" i="34" s="1"/>
  <c r="Z31" i="34"/>
  <c r="Z24" i="34"/>
  <c r="AD24" i="34" s="1"/>
  <c r="Z23" i="34"/>
  <c r="AD23" i="34" s="1"/>
  <c r="AD43" i="34"/>
  <c r="Z39" i="34"/>
  <c r="AD39" i="34" s="1"/>
  <c r="Z32" i="34"/>
  <c r="Z16" i="34"/>
  <c r="AD16" i="34" s="1"/>
  <c r="X25" i="34"/>
  <c r="AD22" i="34" l="1"/>
  <c r="I44" i="34"/>
  <c r="AD32" i="34"/>
  <c r="Z44" i="34"/>
  <c r="X45" i="34"/>
  <c r="R16" i="39"/>
  <c r="S16" i="39" s="1"/>
  <c r="T16" i="39" s="1"/>
  <c r="I25" i="34"/>
  <c r="I45" i="34" s="1"/>
  <c r="AA34" i="15"/>
  <c r="AB34" i="15" s="1"/>
  <c r="AC34" i="15" s="1"/>
  <c r="U30" i="34"/>
  <c r="M45" i="34"/>
  <c r="U16" i="15"/>
  <c r="V16" i="15" s="1"/>
  <c r="W16" i="15" s="1"/>
  <c r="U31" i="34"/>
  <c r="AD30" i="34"/>
  <c r="U34" i="15"/>
  <c r="V34" i="15" s="1"/>
  <c r="W34" i="15" s="1"/>
  <c r="U32" i="34"/>
  <c r="F23" i="36"/>
  <c r="G23" i="36" s="1"/>
  <c r="H23" i="36" s="1"/>
  <c r="I23" i="36" s="1"/>
  <c r="U22" i="34"/>
  <c r="O25" i="34"/>
  <c r="O38" i="48"/>
  <c r="AD31" i="34"/>
  <c r="AL35" i="34"/>
  <c r="AB35" i="34"/>
  <c r="AC44" i="34"/>
  <c r="AM44" i="34"/>
  <c r="F17" i="36"/>
  <c r="G17" i="36" s="1"/>
  <c r="H17" i="36" s="1"/>
  <c r="I17" i="36" s="1"/>
  <c r="F16" i="36"/>
  <c r="G16" i="36" s="1"/>
  <c r="H16" i="36" s="1"/>
  <c r="I16" i="36" s="1"/>
  <c r="F15" i="36"/>
  <c r="G15" i="36" s="1"/>
  <c r="H15" i="36" s="1"/>
  <c r="I15" i="36" s="1"/>
  <c r="O29" i="34"/>
  <c r="O44" i="34" s="1"/>
  <c r="D53" i="36"/>
  <c r="F26" i="36"/>
  <c r="AN17" i="34"/>
  <c r="F19" i="36"/>
  <c r="G19" i="36" s="1"/>
  <c r="H19" i="36" s="1"/>
  <c r="I19" i="36" s="1"/>
  <c r="AN37" i="34"/>
  <c r="AL37" i="34"/>
  <c r="AB37" i="34"/>
  <c r="AB34" i="34"/>
  <c r="AL34" i="34"/>
  <c r="AN30" i="34"/>
  <c r="AN32" i="34"/>
  <c r="AB29" i="34"/>
  <c r="AL29" i="34"/>
  <c r="F24" i="36"/>
  <c r="AB24" i="34"/>
  <c r="AL24" i="34"/>
  <c r="AL23" i="34"/>
  <c r="AB22" i="34"/>
  <c r="AL22" i="34"/>
  <c r="AB19" i="34"/>
  <c r="AB17" i="34"/>
  <c r="AL17" i="34"/>
  <c r="AB23" i="34"/>
  <c r="AM45" i="34"/>
  <c r="AC25" i="34"/>
  <c r="F21" i="36"/>
  <c r="Z25" i="34"/>
  <c r="AD13" i="34"/>
  <c r="D51" i="36" l="1"/>
  <c r="O45" i="34"/>
  <c r="AN25" i="34"/>
  <c r="AA16" i="15"/>
  <c r="AB16" i="15" s="1"/>
  <c r="AC16" i="15" s="1"/>
  <c r="U29" i="34"/>
  <c r="D49" i="36" s="1"/>
  <c r="E49" i="36" s="1"/>
  <c r="AD25" i="34"/>
  <c r="AL45" i="34"/>
  <c r="AD29" i="34"/>
  <c r="AN29" i="34"/>
  <c r="F14" i="36"/>
  <c r="G14" i="36" s="1"/>
  <c r="H14" i="36" s="1"/>
  <c r="D54" i="36"/>
  <c r="E54" i="36" s="1"/>
  <c r="F54" i="36" s="1"/>
  <c r="G54" i="36" s="1"/>
  <c r="AL44" i="34"/>
  <c r="AB25" i="34"/>
  <c r="AL25" i="34"/>
  <c r="AB44" i="34"/>
  <c r="G21" i="36"/>
  <c r="H21" i="36" s="1"/>
  <c r="I21" i="36" s="1"/>
  <c r="Z17" i="34"/>
  <c r="Y19" i="34"/>
  <c r="Y45" i="34" s="1"/>
  <c r="E53" i="36"/>
  <c r="F53" i="36" s="1"/>
  <c r="G53" i="36" s="1"/>
  <c r="AN44" i="34" l="1"/>
  <c r="I14" i="36"/>
  <c r="AD44" i="34"/>
  <c r="AN19" i="34"/>
  <c r="AN45" i="34"/>
  <c r="F49" i="36"/>
  <c r="G49" i="36" s="1"/>
  <c r="E51" i="36"/>
  <c r="F51" i="36" s="1"/>
  <c r="G51" i="36" s="1"/>
  <c r="AB45" i="34"/>
  <c r="AC45" i="34"/>
  <c r="AC19" i="34"/>
  <c r="Z19" i="34"/>
  <c r="Z45" i="34" s="1"/>
  <c r="AD17" i="34"/>
  <c r="G26" i="36"/>
  <c r="H26" i="36" s="1"/>
  <c r="I26" i="36" s="1"/>
  <c r="AD45" i="34" l="1"/>
  <c r="AD19" i="34"/>
  <c r="G24" i="36"/>
  <c r="H24" i="36" s="1"/>
  <c r="I24" i="36" s="1"/>
  <c r="AH60" i="49" l="1"/>
</calcChain>
</file>

<file path=xl/comments1.xml><?xml version="1.0" encoding="utf-8"?>
<comments xmlns="http://schemas.openxmlformats.org/spreadsheetml/2006/main">
  <authors>
    <author>Gordon Anderson</author>
  </authors>
  <commentList>
    <comment ref="H81" authorId="0" shapeId="0">
      <text>
        <r>
          <rPr>
            <b/>
            <sz val="9"/>
            <color indexed="81"/>
            <rFont val="Calibri"/>
            <family val="2"/>
          </rPr>
          <t>Gordon Anderson:</t>
        </r>
        <r>
          <rPr>
            <sz val="9"/>
            <color indexed="81"/>
            <rFont val="Calibri"/>
            <family val="2"/>
          </rPr>
          <t xml:space="preserve">
Includes 10 FTE not included in Early Statistics Return.</t>
        </r>
      </text>
    </comment>
    <comment ref="H105" authorId="0" shapeId="0">
      <text>
        <r>
          <rPr>
            <b/>
            <sz val="9"/>
            <color indexed="81"/>
            <rFont val="Calibri"/>
            <family val="2"/>
          </rPr>
          <t>Gordon Anderson:</t>
        </r>
        <r>
          <rPr>
            <sz val="9"/>
            <color indexed="81"/>
            <rFont val="Calibri"/>
            <family val="2"/>
          </rPr>
          <t xml:space="preserve">
Includes 10 FTE not included in Early Statistics Return.</t>
        </r>
      </text>
    </comment>
    <comment ref="AP105" authorId="0" shapeId="0">
      <text>
        <r>
          <rPr>
            <b/>
            <sz val="9"/>
            <color indexed="81"/>
            <rFont val="Calibri"/>
            <family val="2"/>
          </rPr>
          <t>Gordon Anderson:</t>
        </r>
        <r>
          <rPr>
            <sz val="9"/>
            <color indexed="81"/>
            <rFont val="Calibri"/>
            <family val="2"/>
          </rPr>
          <t xml:space="preserve">
Includes 10 FTE not included in Dundee's Early Statistics Return.</t>
        </r>
      </text>
    </comment>
  </commentList>
</comments>
</file>

<file path=xl/sharedStrings.xml><?xml version="1.0" encoding="utf-8"?>
<sst xmlns="http://schemas.openxmlformats.org/spreadsheetml/2006/main" count="1443" uniqueCount="472">
  <si>
    <t>Institution:</t>
  </si>
  <si>
    <t>Forecast</t>
  </si>
  <si>
    <t>Total</t>
  </si>
  <si>
    <t>(Calculated)</t>
  </si>
  <si>
    <t>Pre-clinical</t>
  </si>
  <si>
    <t>Pre-clinical Medicine</t>
  </si>
  <si>
    <t>Pre-clinical Dentistry</t>
  </si>
  <si>
    <t>Education</t>
  </si>
  <si>
    <t>BEd  Physical Education</t>
  </si>
  <si>
    <t>Taught Postgraduate</t>
  </si>
  <si>
    <t>Taught PG: UG fees</t>
  </si>
  <si>
    <t>Undergraduate</t>
  </si>
  <si>
    <t>Research Postgraduate</t>
  </si>
  <si>
    <t>Year of course</t>
  </si>
  <si>
    <t>2</t>
  </si>
  <si>
    <t>3</t>
  </si>
  <si>
    <t>4</t>
  </si>
  <si>
    <t>5</t>
  </si>
  <si>
    <t>FTE</t>
  </si>
  <si>
    <t>Primary</t>
  </si>
  <si>
    <t>Secondary</t>
  </si>
  <si>
    <t>BEd Music</t>
  </si>
  <si>
    <t>BEd Physical Education</t>
  </si>
  <si>
    <t>BEd Technology</t>
  </si>
  <si>
    <t xml:space="preserve">Combined Degrees in Education </t>
  </si>
  <si>
    <t>1</t>
  </si>
  <si>
    <t>Teaching Sector</t>
  </si>
  <si>
    <t>Headcount</t>
  </si>
  <si>
    <t>Year of Course</t>
  </si>
  <si>
    <t>Medicine</t>
  </si>
  <si>
    <t>Clinical</t>
  </si>
  <si>
    <t>Enter</t>
  </si>
  <si>
    <t>Part-time</t>
  </si>
  <si>
    <t>Clinical Medicine</t>
  </si>
  <si>
    <t>Clinical Dentistry</t>
  </si>
  <si>
    <t>Adult</t>
  </si>
  <si>
    <t>Three-year</t>
  </si>
  <si>
    <t>Conversion</t>
  </si>
  <si>
    <t>Graduate entry</t>
  </si>
  <si>
    <t>Mental Health</t>
  </si>
  <si>
    <t>Child Health</t>
  </si>
  <si>
    <t>Learning Disability</t>
  </si>
  <si>
    <t>Midwifery</t>
  </si>
  <si>
    <t>Full-time</t>
  </si>
  <si>
    <t>Aberdeen, University of</t>
  </si>
  <si>
    <t>Abertay Dundee, University of</t>
  </si>
  <si>
    <t>Dundee, University of</t>
  </si>
  <si>
    <t>Edinburgh, University of</t>
  </si>
  <si>
    <t>Glasgow Caledonian University</t>
  </si>
  <si>
    <t>Glasgow School of Art</t>
  </si>
  <si>
    <t>Glasgow, University of</t>
  </si>
  <si>
    <t>Heriot-Watt University</t>
  </si>
  <si>
    <t>Robert Gordon University</t>
  </si>
  <si>
    <t>St Andrews, University of</t>
  </si>
  <si>
    <t>Stirling, University of</t>
  </si>
  <si>
    <t>Strathclyde, University of</t>
  </si>
  <si>
    <t>Calculated</t>
  </si>
  <si>
    <t>Referenced</t>
  </si>
  <si>
    <t>Queen Margaret University, Edinburgh</t>
  </si>
  <si>
    <t>West of Scotland, University of the</t>
  </si>
  <si>
    <t>Check FTE is less than or equal to Headcount:</t>
  </si>
  <si>
    <t>Table 1</t>
  </si>
  <si>
    <t>(*) These totals should equal the corresponding course totals on Table 1</t>
  </si>
  <si>
    <t>Edinburgh Napier University</t>
  </si>
  <si>
    <t>Head-
count</t>
  </si>
  <si>
    <t>Total
funded
places</t>
  </si>
  <si>
    <t>Autumn
Count</t>
  </si>
  <si>
    <t>Year 0</t>
  </si>
  <si>
    <t>Year 1</t>
  </si>
  <si>
    <t>Year 2</t>
  </si>
  <si>
    <t>Year 3</t>
  </si>
  <si>
    <t>Year 4</t>
  </si>
  <si>
    <t>Year 5</t>
  </si>
  <si>
    <t>flag=1</t>
  </si>
  <si>
    <t>Warning messages</t>
  </si>
  <si>
    <t>Check for cells where only one of  FTE and headcount is non-zero:</t>
  </si>
  <si>
    <t>Intake missing?</t>
  </si>
  <si>
    <t>Difference OK?</t>
  </si>
  <si>
    <t>Students Eligible for Funding</t>
  </si>
  <si>
    <t>Full-time and Sandwich (excluding short full-time)</t>
  </si>
  <si>
    <t>Part-time
(including short full-time)</t>
  </si>
  <si>
    <t>Autumn Count</t>
  </si>
  <si>
    <t>Other</t>
  </si>
  <si>
    <t>Controlled Subject Areas</t>
  </si>
  <si>
    <t>Nursing and Midwifery</t>
  </si>
  <si>
    <t>Non-Controlled Subject Areas</t>
  </si>
  <si>
    <t>PGCE / PGDE Primary</t>
  </si>
  <si>
    <t>PGCE / PGDE Secondary</t>
  </si>
  <si>
    <t>Other subject areas</t>
  </si>
  <si>
    <t>Medicine and Dentistry</t>
  </si>
  <si>
    <t>STEM subject areas</t>
  </si>
  <si>
    <t>All Levels</t>
  </si>
  <si>
    <t>The cells with a white background are those in which figures can be entered.</t>
  </si>
  <si>
    <t>BEd Primary</t>
  </si>
  <si>
    <t>Enter /
Calculated</t>
  </si>
  <si>
    <t>Scottish
Govern-
ment
funded
places</t>
  </si>
  <si>
    <t>Fees-only students</t>
  </si>
  <si>
    <t>Percentage</t>
  </si>
  <si>
    <t>Highlands and Islands, University of the</t>
  </si>
  <si>
    <t>Open University in Scotland</t>
  </si>
  <si>
    <t>Royal Conservatoire of Scotland</t>
  </si>
  <si>
    <t>Check total</t>
  </si>
  <si>
    <t>Institution</t>
  </si>
  <si>
    <t>Clinical
medicine</t>
  </si>
  <si>
    <t>Clinical
dentistry</t>
  </si>
  <si>
    <t>BEd
Primary</t>
  </si>
  <si>
    <t>BEd
Music</t>
  </si>
  <si>
    <t>BEd PE</t>
  </si>
  <si>
    <t>BEd
Technology</t>
  </si>
  <si>
    <t>PGDE
Primary</t>
  </si>
  <si>
    <t>PGDE
Secondary</t>
  </si>
  <si>
    <t>PGDE Primary</t>
  </si>
  <si>
    <t>PGDE Secondary</t>
  </si>
  <si>
    <t>Table flags</t>
  </si>
  <si>
    <t>Institution selected</t>
  </si>
  <si>
    <t>(Calcul-
ated)</t>
  </si>
  <si>
    <t>Intake
to the
course</t>
  </si>
  <si>
    <t>Col</t>
  </si>
  <si>
    <t>Medicine
under-
graduates</t>
  </si>
  <si>
    <t>Dentistry
under-
graduates</t>
  </si>
  <si>
    <t>Parameters</t>
  </si>
  <si>
    <t>Controlled Under-enrolments</t>
  </si>
  <si>
    <t>Non-controlled Under-enrolments</t>
  </si>
  <si>
    <t>Is there an
under-
enrolment
below the
tolerance
threshold
(Yes or
No) ?</t>
  </si>
  <si>
    <t>Controlled subject areas</t>
  </si>
  <si>
    <t>Non-controlled subject areas</t>
  </si>
  <si>
    <t>Taught Postgraduate and Undergraduate</t>
  </si>
  <si>
    <t>Subject area</t>
  </si>
  <si>
    <t>Non-controlled Subject Areas</t>
  </si>
  <si>
    <t>Is there a
breach of
consol-
idation
(Yes or
No) ?</t>
  </si>
  <si>
    <t>Title</t>
  </si>
  <si>
    <t>Aberdeen,
University of</t>
  </si>
  <si>
    <t>Abertay Dundee,
University of</t>
  </si>
  <si>
    <t>Dundee,
University of</t>
  </si>
  <si>
    <t>West of Scotland,
University of the</t>
  </si>
  <si>
    <t>Strathclyde,
University of</t>
  </si>
  <si>
    <t>Stirling,
University of</t>
  </si>
  <si>
    <t>St Andrews,
University of</t>
  </si>
  <si>
    <t>Robert Gordon
University</t>
  </si>
  <si>
    <t>Glasgow Caledonian
University</t>
  </si>
  <si>
    <t>Edinburgh,
University of</t>
  </si>
  <si>
    <t>Edinburgh Napier
University</t>
  </si>
  <si>
    <t>Heriot-Watt
University</t>
  </si>
  <si>
    <t>Open University
in Scotland
(Enrolments)</t>
  </si>
  <si>
    <t>Open University
in Scotland
(Completions)</t>
  </si>
  <si>
    <t>Level of Study / Subject Area</t>
  </si>
  <si>
    <t>Included in Table</t>
  </si>
  <si>
    <t>2a</t>
  </si>
  <si>
    <t>2b</t>
  </si>
  <si>
    <t>2c</t>
  </si>
  <si>
    <t>Scots, Other EU, Rest of UK</t>
  </si>
  <si>
    <t>Medicine Undergraduates:</t>
  </si>
  <si>
    <t>Nursing and Midwifery Pre-registration:</t>
  </si>
  <si>
    <t>Full-time undergraduates (Scots, Other EU)</t>
  </si>
  <si>
    <t>Consolidation tolerance (&gt;=100)</t>
  </si>
  <si>
    <t>Consolidation tolerance (&lt;100) (FTE)</t>
  </si>
  <si>
    <t>Rest of
UK</t>
  </si>
  <si>
    <t>Students
on inter-
calating
degrees</t>
  </si>
  <si>
    <t>Nursing and Midwifery Pre-registration</t>
  </si>
  <si>
    <t>Initial Teacher Education (BEd and PGDE)
(Scots, Other EU, Rest of UK):</t>
  </si>
  <si>
    <t>Dentistry</t>
  </si>
  <si>
    <t>STEM subjects</t>
  </si>
  <si>
    <t>Other subjects</t>
  </si>
  <si>
    <t>Crichton
campus</t>
  </si>
  <si>
    <t>Regional
Coherence</t>
  </si>
  <si>
    <t>Widening
Access</t>
  </si>
  <si>
    <t>Articulation</t>
  </si>
  <si>
    <t>Skills
for
Growth
(Under-
graduate)</t>
  </si>
  <si>
    <t>Taught
post-
graduate</t>
  </si>
  <si>
    <t>Initial
Teacher
Education
Primary</t>
  </si>
  <si>
    <t>Initial
Teacher
Education
Secondary</t>
  </si>
  <si>
    <t>Nursing
and
midwifery
pre-
registration</t>
  </si>
  <si>
    <t>Additional Funded Places</t>
  </si>
  <si>
    <t>SFC
funded
places</t>
  </si>
  <si>
    <t>SRUC</t>
  </si>
  <si>
    <t>Students eligible for funding</t>
  </si>
  <si>
    <t>International</t>
  </si>
  <si>
    <t>Type of student</t>
  </si>
  <si>
    <t>Stage and Year of Course</t>
  </si>
  <si>
    <t>Scheme</t>
  </si>
  <si>
    <t>Allocation of
additional
funded
places</t>
  </si>
  <si>
    <t>Course</t>
  </si>
  <si>
    <t>Course / Subject Area</t>
  </si>
  <si>
    <t>International Medical University of Malaysia</t>
  </si>
  <si>
    <t>Closed loop programme: Canada</t>
  </si>
  <si>
    <t>Total
(*)</t>
  </si>
  <si>
    <t>(*) The total(s) for students eligible for funding and rest of UK should equal the corresponding totals on Table 1.</t>
  </si>
  <si>
    <t>Num-
ber</t>
  </si>
  <si>
    <t>5a</t>
  </si>
  <si>
    <t>5b</t>
  </si>
  <si>
    <t>5c</t>
  </si>
  <si>
    <t>5d</t>
  </si>
  <si>
    <t>5e</t>
  </si>
  <si>
    <t>Postgraduate (Undergraduate fee)</t>
  </si>
  <si>
    <t>Students
in year
2 or
later</t>
  </si>
  <si>
    <t>International Total</t>
  </si>
  <si>
    <t>Intake or
enrolments
missing?</t>
  </si>
  <si>
    <t>Intake inconsistent
with enrolments?</t>
  </si>
  <si>
    <t>Intake or
enrolments missing?</t>
  </si>
  <si>
    <t>Intake or enrolments
missing?</t>
  </si>
  <si>
    <t>Only intake recorded?</t>
  </si>
  <si>
    <t>Intake inconsistent with enrolments?</t>
  </si>
  <si>
    <t>Early Statistics /
Final Figures Tables
Column Number</t>
  </si>
  <si>
    <t>Percentage Difference</t>
  </si>
  <si>
    <t>Dentistry Undergraduates:</t>
  </si>
  <si>
    <t>Pre-clinical
medicine</t>
  </si>
  <si>
    <t>Pre-clinical
dentistry</t>
  </si>
  <si>
    <t>Open University (Completions)</t>
  </si>
  <si>
    <r>
      <rPr>
        <b/>
        <sz val="11"/>
        <rFont val="Calibri"/>
        <family val="2"/>
      </rPr>
      <t>Courses</t>
    </r>
    <r>
      <rPr>
        <sz val="11"/>
        <rFont val="Calibri"/>
        <family val="2"/>
      </rPr>
      <t xml:space="preserve">
(Only those which lead to registration
with the General Teaching Council)</t>
    </r>
  </si>
  <si>
    <t>Check against Table 1</t>
  </si>
  <si>
    <t>Difference
from
Table 1</t>
  </si>
  <si>
    <t>Intake
but no
enrolments</t>
  </si>
  <si>
    <t>Enrolments
but no
intake</t>
  </si>
  <si>
    <t>Intake
greater
than
enrolments</t>
  </si>
  <si>
    <t>Intake
equals
total
enrolments</t>
  </si>
  <si>
    <t>Intake
equals
total
enrolments
and
students
in year
2 or
later</t>
  </si>
  <si>
    <t>Gaelic
headcount
intake
non-zero
but FTE
intake is
missing</t>
  </si>
  <si>
    <t>Level of Study</t>
  </si>
  <si>
    <r>
      <rPr>
        <b/>
        <sz val="11"/>
        <rFont val="Calibri"/>
        <family val="2"/>
      </rPr>
      <t>Level of Study</t>
    </r>
    <r>
      <rPr>
        <b/>
        <sz val="11"/>
        <color indexed="18"/>
        <rFont val="Calibri"/>
        <family val="2"/>
      </rPr>
      <t xml:space="preserve"> / </t>
    </r>
    <r>
      <rPr>
        <b/>
        <sz val="11"/>
        <color indexed="56"/>
        <rFont val="Calibri"/>
        <family val="2"/>
      </rPr>
      <t>Subject Areas</t>
    </r>
  </si>
  <si>
    <t>Students Eligible for Funding in All Subject Areas and Students Not Eligible for Funding in Controlled Subject Areas</t>
  </si>
  <si>
    <t>Continuing
Rest of UK
(*)</t>
  </si>
  <si>
    <t>Of which associated with Innovation Centres</t>
  </si>
  <si>
    <t>Undergraduate Total</t>
  </si>
  <si>
    <t>Total
enrolments
non-zero
but
intake is
missing</t>
  </si>
  <si>
    <t>Intake
non-zero
but no
enrolments</t>
  </si>
  <si>
    <t>Intake
equals
total
enrolments
and
enrolments
in year 2
or later</t>
  </si>
  <si>
    <t>4a</t>
  </si>
  <si>
    <t>4b</t>
  </si>
  <si>
    <t xml:space="preserve">Nursing
and
Midwifery
Pre-
registration   </t>
  </si>
  <si>
    <t>Honours
Nursing</t>
  </si>
  <si>
    <t>Intake</t>
  </si>
  <si>
    <t>Year of Programme</t>
  </si>
  <si>
    <t>Intake or enrolments missing?</t>
  </si>
  <si>
    <t>Rest of UK paying deregulated tuition fees</t>
  </si>
  <si>
    <t>Home and Deregulated Tuition Fees</t>
  </si>
  <si>
    <t>Total Home and Deregulated Tuition Fees</t>
  </si>
  <si>
    <t>Total
enrolments
non-zero
but intake
is missing</t>
  </si>
  <si>
    <t>Intake
equals total
enrolments
both non-zero</t>
  </si>
  <si>
    <t>Comparison with Table 1</t>
  </si>
  <si>
    <t>Intake /
Year of Programme</t>
  </si>
  <si>
    <t>2d</t>
  </si>
  <si>
    <t>PGDE Secondary Subject</t>
  </si>
  <si>
    <t>Art</t>
  </si>
  <si>
    <t>Biology</t>
  </si>
  <si>
    <t>Business Education</t>
  </si>
  <si>
    <t>Chemistry</t>
  </si>
  <si>
    <t>Computing</t>
  </si>
  <si>
    <t>Drama</t>
  </si>
  <si>
    <t>English</t>
  </si>
  <si>
    <t>Gaelic</t>
  </si>
  <si>
    <t>Geography</t>
  </si>
  <si>
    <t>History</t>
  </si>
  <si>
    <t>Home Economics</t>
  </si>
  <si>
    <t>Mathematics</t>
  </si>
  <si>
    <t>Modern Languages</t>
  </si>
  <si>
    <t>Modern Studies</t>
  </si>
  <si>
    <t>Music</t>
  </si>
  <si>
    <t>Physical Education</t>
  </si>
  <si>
    <t>Religious Education</t>
  </si>
  <si>
    <t>Technological Education</t>
  </si>
  <si>
    <t>Physics</t>
  </si>
  <si>
    <t>Single
subject</t>
  </si>
  <si>
    <t>Combined with:</t>
  </si>
  <si>
    <t>Business
Education</t>
  </si>
  <si>
    <t>Physical
Education</t>
  </si>
  <si>
    <t>Religious
Education</t>
  </si>
  <si>
    <t>Modern
Studies</t>
  </si>
  <si>
    <t>Home
Economics</t>
  </si>
  <si>
    <t>Modern
Languages</t>
  </si>
  <si>
    <t>Mathe-
matics</t>
  </si>
  <si>
    <t>Combined
total</t>
  </si>
  <si>
    <t>Techn-
ological
Education</t>
  </si>
  <si>
    <t>Total
number of
students
training for
subject  (*)</t>
  </si>
  <si>
    <t>(*) Students are counted against both subjects if they are training to teach two subjects.</t>
  </si>
  <si>
    <t>Check against Table 2a</t>
  </si>
  <si>
    <t>Table 2a</t>
  </si>
  <si>
    <t>Difference
from
Table 2a</t>
  </si>
  <si>
    <t>Contents</t>
  </si>
  <si>
    <t>Table</t>
  </si>
  <si>
    <t>Completed
by
Institution</t>
  </si>
  <si>
    <t>YES</t>
  </si>
  <si>
    <t>For Info</t>
  </si>
  <si>
    <t>Level of Study / Branch</t>
  </si>
  <si>
    <t>Difference</t>
  </si>
  <si>
    <t>Allocation of additional funded places</t>
  </si>
  <si>
    <t>College</t>
  </si>
  <si>
    <t xml:space="preserve">     number of undergraduate entrants from the 40 per cent most deprived areas.</t>
  </si>
  <si>
    <t>(*) Enter the FTE number of places that have been filled. You do not have to return the total</t>
  </si>
  <si>
    <t>(*) Enter the FTE number of places that have been filled.  You do not have to return the total number of students</t>
  </si>
  <si>
    <t xml:space="preserve">     eligible for funding entering the undergraduate courses for which additional places were allocated.</t>
  </si>
  <si>
    <t>Students eligible for funding compared to funded places</t>
  </si>
  <si>
    <t>Relevant
student
numbers</t>
  </si>
  <si>
    <t>Controlled Four-year Nursing Degrees</t>
  </si>
  <si>
    <t>(*) 'Continuing rest of UK' are those students who are eligible for funding because they started their courses prior to 2012-13, but would not have been eligible for funding if they had started in 2012-13 or later because</t>
  </si>
  <si>
    <t>Full-time
and
sandwich
(excluding
short
full-time)</t>
  </si>
  <si>
    <t>Part-time
(including
short
full-time)</t>
  </si>
  <si>
    <t>An individual student should not be counted in more than one of the tables 5a to 5e.</t>
  </si>
  <si>
    <t xml:space="preserve">     eligible for funding on the taught postgraduate courses for which additional places were allocated.</t>
  </si>
  <si>
    <t>Rest of UK
students
not eligible
for funding
in controlled
subject
areas</t>
  </si>
  <si>
    <t xml:space="preserve">Rest of UK Students Eligible for Funding in the Controlled Subject Areas / Taught Postgraduate Students Eligible for Funding at the Innovation Centres </t>
  </si>
  <si>
    <t>Glasgow
School
of Art</t>
  </si>
  <si>
    <t>Glasgow,
University of</t>
  </si>
  <si>
    <t>Highlands
and
Islands,
University
of the</t>
  </si>
  <si>
    <t>Open
University
in Scotland
(Enrolments)</t>
  </si>
  <si>
    <t>Queen
Margaret
University,
Edinburgh</t>
  </si>
  <si>
    <t>Robert
Gordon
University</t>
  </si>
  <si>
    <t>Royal
Conser-
vatoire
of Scotland</t>
  </si>
  <si>
    <t>West of
Scotland,
University
of the</t>
  </si>
  <si>
    <t>Open
University
in Scotland
(Completions)</t>
  </si>
  <si>
    <t>RUK</t>
  </si>
  <si>
    <t>At your
institution</t>
  </si>
  <si>
    <t>At another
institution</t>
  </si>
  <si>
    <t>Students Eligible for Funding, 2015-16</t>
  </si>
  <si>
    <t xml:space="preserve">      total number of entrants articulating at a further education college.</t>
  </si>
  <si>
    <t>(*) Enter the FTE number of places that have been filled. You do not have to return the</t>
  </si>
  <si>
    <t>Controlled Three-year</t>
  </si>
  <si>
    <t>Controlled Four-year Degree - Started in 2014-15 or later</t>
  </si>
  <si>
    <t>Column number for table look ups</t>
  </si>
  <si>
    <t>Additional SFC Places for 2016-17</t>
  </si>
  <si>
    <t>New and Continuing
SFC Places for 2016-17</t>
  </si>
  <si>
    <t>Total SFC Non-controlled
Funded Places for 2016-17</t>
  </si>
  <si>
    <t>SFC Controlled Funded Places for 2016-17</t>
  </si>
  <si>
    <t>Scottish Government Controlled Funded Places for 2016-17</t>
  </si>
  <si>
    <t>Funded
through
Main
Teaching
Grant</t>
  </si>
  <si>
    <t>Funded
through
Strategic
Grants</t>
  </si>
  <si>
    <t>Pre-clinical
Medicine</t>
  </si>
  <si>
    <t>Early Statistics 2015-16</t>
  </si>
  <si>
    <t>Glasgow
Caledonian
University</t>
  </si>
  <si>
    <t>Glasgow
School of Art</t>
  </si>
  <si>
    <t>Highlands and
Islands,
University of the</t>
  </si>
  <si>
    <t>Queen Margaret
University,
Edinburgh</t>
  </si>
  <si>
    <t>Royal
Conservatoire
of Scotland</t>
  </si>
  <si>
    <t>Check difference</t>
  </si>
  <si>
    <t>Final Figures 2015-16</t>
  </si>
  <si>
    <t>Scottish Funding Council Early Statistics Return 2016-17</t>
  </si>
  <si>
    <t>Monitoring for Under-enrolments against Funded Places or Breaches of Consolidation, 2016-17</t>
  </si>
  <si>
    <t>Controlled subject areas, 2016-17</t>
  </si>
  <si>
    <t>Students
eligible
for  
funding
2016-17
from 
Table1</t>
  </si>
  <si>
    <t>Non-controlled subject areas, 2016-17</t>
  </si>
  <si>
    <t>All
students
eligible
for  
funding in
2016-17
from 
table1</t>
  </si>
  <si>
    <t>SFC Early Statistics Return 2016-17</t>
  </si>
  <si>
    <t>Scottish Funding Council Early Statistics Return 2016-17: Table 1</t>
  </si>
  <si>
    <t>Scottish Funding Council Early Statistics Return 2016-17: Table 2a</t>
  </si>
  <si>
    <t>Students Eligible for Funding on Teaching Qualification (Further Education) (TQ(FE)) Courses, 2016-17</t>
  </si>
  <si>
    <t>Scottish Funding Council Early Statistics Return 2016-17: Table 2b</t>
  </si>
  <si>
    <t>Students Eligible for Funding in All Subject Areas and Students Not Eligible for Funding in Controlled Subject Areas, 2016-17</t>
  </si>
  <si>
    <t>Rest of UK Students
Not Eligible for Funding
in Controlled Subject Areas, 2016-17</t>
  </si>
  <si>
    <t>Students Eligible for Funding, 2016-17</t>
  </si>
  <si>
    <t>Total for
Controlled
Subject
Areas for
Monitoring
Consolidation
for Scots /
Other EU /
Rest of UK,
2016-17</t>
  </si>
  <si>
    <t>Comparison with Early Statistics for 2015-16</t>
  </si>
  <si>
    <t>Rest of UK
students
not eligible
for funding
in controlled
subject
areas,
2015-16</t>
  </si>
  <si>
    <t>Comparison with Final Figures for 2015-16</t>
  </si>
  <si>
    <t>Students Eligible for Funding on Initial Teacher Education Courses, 2016-17</t>
  </si>
  <si>
    <t>Students Eligible for Funding Enrolled on Catholic Courses or Modules, 2016-17</t>
  </si>
  <si>
    <t>Subjects Students Eligible for Funding in the Intake to PGDE Secondary Courses are Training to Teach, 2016-17</t>
  </si>
  <si>
    <t>Students on Undergraduate Medicine and Dentistry Courses, 2016-17</t>
  </si>
  <si>
    <t>Students Eligible for Funding on Controlled Three-year Nursing and Midwifery Pre-registration courses, 2016-17</t>
  </si>
  <si>
    <t>Students Eligible for Funding on Controlled Four-year Nursing Degree courses, 2016-17</t>
  </si>
  <si>
    <t>Use of Additional Funded Places for 2016-17 for Widening Access</t>
  </si>
  <si>
    <t>Use of Additional Funded Places for 2016-17 for Articulation</t>
  </si>
  <si>
    <t>Use of Additional Funded Places for 2016-17 for Undergraduate Skills for Growth</t>
  </si>
  <si>
    <t>Use of Additional Funded Places for 2016-17 for Taught Postgraduate Provision</t>
  </si>
  <si>
    <t>Controlled Four-year Degree - Since 2014-15</t>
  </si>
  <si>
    <t>Look up
for
Early
Statistics
and Final
Figures for
2015-16</t>
  </si>
  <si>
    <t>Intake to the Course, 2016-17</t>
  </si>
  <si>
    <t>Scottish Funding Council Early Statistics Return 2016-17: Table 2c</t>
  </si>
  <si>
    <t>Students enrolled on Catholic courses
or modules studying ITE, 2016-17</t>
  </si>
  <si>
    <t>Scottish Funding Council Early Statistics Return 2016-17: Table 2d</t>
  </si>
  <si>
    <t>Scottish Funding Council Early Statistics Return 2016-17: Table 4a</t>
  </si>
  <si>
    <t>Scottish Funding Council Early Statistics Return 2016-17: Table 3</t>
  </si>
  <si>
    <t>Scottish Funding Council Early Statistics Return 2016-17: Table 4b</t>
  </si>
  <si>
    <t>Students
eligible for
funding,
2016-17</t>
  </si>
  <si>
    <t>Scottish Funding Council Early Statistics Return 2016-17: Table 5a</t>
  </si>
  <si>
    <t>Undergraduate entrants in 2016-17 from the 40 per cent most deprived areas   (*)</t>
  </si>
  <si>
    <t>Scottish Funding Council Early Statistics Return 2016-17: Table 5b</t>
  </si>
  <si>
    <t>Entrants
articulating
at a
Further
Education
College,
2016-17</t>
  </si>
  <si>
    <t>Scottish Funding Council Early Statistics Return 2016-17: Table 5c</t>
  </si>
  <si>
    <t>Scottish Funding Council Early Statistics Return 2016-17: Table 5d</t>
  </si>
  <si>
    <t>Use of Additional Funded Places for Taught Postgraduate Provision, 2016-17</t>
  </si>
  <si>
    <t>Students on
the relevant
taught
postgraduate
courses,
2016-17</t>
  </si>
  <si>
    <t>Use of Additional Funded Places for Regional Coherence</t>
  </si>
  <si>
    <t>Scottish Funding Council Early Statistics Return 2016-17: Table 5e</t>
  </si>
  <si>
    <t>(*)</t>
  </si>
  <si>
    <t>Students
eligible
for funding,
2016-17
(*)</t>
  </si>
  <si>
    <t>Use of Additional Funded Places for Regional Coherence and Crichton Campus, 2016-17</t>
  </si>
  <si>
    <t>Controlled Three-year Nursing Degrees</t>
  </si>
  <si>
    <t>Use of Additional Funded Places for 2016-17 for Regional Coherence and Crichton Campus</t>
  </si>
  <si>
    <t xml:space="preserve">Regional Coherence </t>
  </si>
  <si>
    <t>Controlled Three-year Degree</t>
  </si>
  <si>
    <t/>
  </si>
  <si>
    <t>Table 5c Part 1: Additional Funded Places for 2016-17 for Undergraduate Skills for Growth</t>
  </si>
  <si>
    <t>Table 5c Part 2: Use of Additional Funded Places for 2016-17 for Undergraduate Skills for Growth</t>
  </si>
  <si>
    <t>Industry-funded Entrants to the Relevant Undergraduate Courses, 2016-17</t>
  </si>
  <si>
    <t>Entrants Eligible for Funding to the Relevant Undergraduate Courses, 2016-17</t>
  </si>
  <si>
    <t>Industry-funded
entrants to
the relevant
undergraduate
courses,
2016-17</t>
  </si>
  <si>
    <t>Eligible for
funding
entrants to
the relevant
undergraduate
courses,
2016-17</t>
  </si>
  <si>
    <t>Initial (Maximum) Allocation of Additional Funded Places for Undergraduate Skills</t>
  </si>
  <si>
    <t>Additional Funded Places (from table 5c part 1)</t>
  </si>
  <si>
    <t>Actual Allocation Based on Industry-funded Places</t>
  </si>
  <si>
    <t>(2) Enter the FTE number of places that have been filled.  You do not have to return the total number of students</t>
  </si>
  <si>
    <t>European Social Fund
‘Developing Scotland’s Workforce'</t>
  </si>
  <si>
    <t>Research
post-graduate</t>
  </si>
  <si>
    <t>Taught
post-graduate</t>
  </si>
  <si>
    <t>HN</t>
  </si>
  <si>
    <t>Scottish Funding Council Early Statistics Return 2016-17: Table 5f</t>
  </si>
  <si>
    <t>An individual student should not be counted in more than one of the tables 5a to 5f</t>
  </si>
  <si>
    <t>Research
postgraduates</t>
  </si>
  <si>
    <t>Taught
postgraduates</t>
  </si>
  <si>
    <t>5f</t>
  </si>
  <si>
    <t>Additional ESF-funded Places</t>
  </si>
  <si>
    <t>An individual student should not be counted in more than one of the tables 5a to 5f.</t>
  </si>
  <si>
    <t>FTE number of students eligible for funding on the relevant courses.</t>
  </si>
  <si>
    <t>(*) Enter the FTE number of places that have been filled. You do not have to return the total FTE number of students</t>
  </si>
  <si>
    <t>eligible for funding on the relevant courses.</t>
  </si>
  <si>
    <t>Use of Additional Funded Places for Crichton Campus for 2016-17</t>
  </si>
  <si>
    <t>Scottish Funding Council Early Statistics Return 2016-17: Table 6</t>
  </si>
  <si>
    <t>Students Eligible for Funding and Rest of UK Students in the Intake to PGDE Secondary Courses, 2016-17: Subjects Training to Teach</t>
  </si>
  <si>
    <t>Use of Places Funded by the European Social Fund (ESF)'s Developing Scotland's Workforce Programme, 2016-17</t>
  </si>
  <si>
    <t>Scottish-domiciled Undergraduate Entrants from a Care Experienced Background, 2016-17</t>
  </si>
  <si>
    <t>Students eligible
for funding</t>
  </si>
  <si>
    <t>Total
intake</t>
  </si>
  <si>
    <t>Intake of
students
eligible
for funding
able to
teach in
the Gaelic
medium</t>
  </si>
  <si>
    <t>Scottish and other EU full-time and sandwich undergraduate students eligible for funding compared to consolidation student numbers for non-controlled subject areas</t>
  </si>
  <si>
    <t>Students eligible for funding and rest of UK students paying deregulated tuition fees compared to consolidation student numbers for controlled subject areas</t>
  </si>
  <si>
    <t>Consolidation student numbers, 2016-17</t>
  </si>
  <si>
    <t>Difference between
student numbers and
consolidation student
number</t>
  </si>
  <si>
    <t xml:space="preserve">     they would have been paying deregulated tuition fees, see paragraphs 37 to 42 of the Notes of Guidance.</t>
  </si>
  <si>
    <t>See Notes of Guidance, Paragraphs 68 to 70</t>
  </si>
  <si>
    <t>See Notes of Guidance, Paragraph 71</t>
  </si>
  <si>
    <t>See Notes of Guidance, Paragraphs 72 and 73</t>
  </si>
  <si>
    <t>See Notes of Guidance, Paragraphs 74 to 77</t>
  </si>
  <si>
    <t>See Notes of Guidance, Paragraphs 78 to 83</t>
  </si>
  <si>
    <t>See Notes of Guidance, Paragraphs 84 to 91</t>
  </si>
  <si>
    <t>See Notes of Guidance, Paragraphs 92 to 95</t>
  </si>
  <si>
    <t>See Notes of Guidance, Paragraphs 100 to 103</t>
  </si>
  <si>
    <t>See Notes of Guidance, Paragraphs 104 to 106</t>
  </si>
  <si>
    <t>See Notes of Guidance, Paragraphs 107 to 114</t>
  </si>
  <si>
    <t>See Notes of Guidance, Paragraphs 115 to 117</t>
  </si>
  <si>
    <t>See Notes of Guidance, Paragraphs 118 to 120</t>
  </si>
  <si>
    <t>See Notes of Guidance, Paragraphs 121 to 124</t>
  </si>
  <si>
    <t>See Notes of Guidance, Paragraphs 125 to 130</t>
  </si>
  <si>
    <t>See Notes of Guidance, Paragraphs 131 to 133</t>
  </si>
  <si>
    <t>Funded Places and Consolidation Student Numbers for 2016-17</t>
  </si>
  <si>
    <t>Controlled Consolidation Student Numbers for 2016-17</t>
  </si>
  <si>
    <t>Non-
controlled
Consolid-
ation
Student
Number
for
2016-17</t>
  </si>
  <si>
    <t>Consol-
idation
student
numbers 
2016-17</t>
  </si>
  <si>
    <t>Theatre Practices</t>
  </si>
  <si>
    <t>Playwriting &amp; Dramaturgy</t>
  </si>
  <si>
    <t>Dress and Textile Histories</t>
  </si>
  <si>
    <t>Collecting and Provenance Studies in an International Context</t>
  </si>
  <si>
    <t>Art Politics and Transgression</t>
  </si>
  <si>
    <t>Material Culture &amp; Artefact Studies</t>
  </si>
  <si>
    <t>Animal Welfare Science, Ethics&amp; Law</t>
  </si>
  <si>
    <t>Mammilian Biology</t>
  </si>
  <si>
    <t>Medical Visualisation &amp; Human Anatomy</t>
  </si>
  <si>
    <t>Information Technology</t>
  </si>
  <si>
    <t>Software Development</t>
  </si>
  <si>
    <t>Aeronautical Engineering</t>
  </si>
  <si>
    <t>Nanoscience and Nanotechnology</t>
  </si>
  <si>
    <t>Financial Risk Management</t>
  </si>
  <si>
    <t>Investment &amp; Fund Management</t>
  </si>
  <si>
    <t>Environment, Culture &amp; Communication</t>
  </si>
  <si>
    <t>City Planning and Real Estate Development</t>
  </si>
  <si>
    <t>Real Estate</t>
  </si>
  <si>
    <t>PGCert in Real Estate</t>
  </si>
  <si>
    <t>Dumfries and Galloway College</t>
  </si>
  <si>
    <t>West College</t>
  </si>
  <si>
    <t>Borders College</t>
  </si>
  <si>
    <t>MA Primary Education</t>
  </si>
  <si>
    <t>BSc Environmental Science and Sustainability</t>
  </si>
  <si>
    <t>MA Health and Social Policy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</si>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</sst>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3" formatCode="_-* #,##0.00_-;\-* #,##0.00_-;_-* &quot;-&quot;??_-;_-@_-"/>
    <numFmt numFmtId="164" formatCode="#,##0\ \ \ "/>
    <numFmt numFmtId="165" formatCode="#,##0\ \ "/>
    <numFmt numFmtId="166" formatCode="0.0%"/>
    <numFmt numFmtId="167" formatCode="#,##0.0\ \ ;\-#,##0.0\ \ ;\ \ "/>
    <numFmt numFmtId="168" formatCode="#,##0.0\ \ \ ;\-#,##0.0\ \ \ "/>
    <numFmt numFmtId="169" formatCode="0\ \ "/>
    <numFmt numFmtId="170" formatCode="#,##0\ \ ;\-#,##0\ \ ;\ \ "/>
    <numFmt numFmtId="171" formatCode="_(* #,##0.00_);_(* \(#,##0.00\);_(* &quot;-&quot;??_);_(@_)"/>
    <numFmt numFmtId="172" formatCode="#,##0.0\ \ \ ;\-#,##0.0\ \ \ ;"/>
    <numFmt numFmtId="173" formatCode="#,##0.0"/>
    <numFmt numFmtId="174" formatCode="#,##0\ \ ;\-#,##0\ \ ;\-\ \ "/>
    <numFmt numFmtId="175" formatCode="#,##0.0\ \ ;\-#,##0.0\ \ ;\-\ \ "/>
    <numFmt numFmtId="176" formatCode="0.0%\ \ "/>
    <numFmt numFmtId="177" formatCode="#,##0;\-#,##0;\-"/>
    <numFmt numFmtId="178" formatCode="#,##0.0\ \ ;\-#,##0.0\ \ ;"/>
    <numFmt numFmtId="179" formatCode="#,##0.0\ \ \ ;\-#,##0.0\ \ \ ;0.0\ \ "/>
    <numFmt numFmtId="180" formatCode="#,##0.0\ \ ;\-#,##0.0\ \ ;0.0\ \ "/>
    <numFmt numFmtId="181" formatCode="#,##0\ \ ;\-#,##0\ \ ;0\ \ "/>
    <numFmt numFmtId="182" formatCode="#,##0\ \ ;\-#,##0\ \ ;\ \ \ "/>
    <numFmt numFmtId="183" formatCode="#,##0.0;\-#,##0.0;\-"/>
    <numFmt numFmtId="184" formatCode="#,##0.0\ \ ;#,##0.0\ \ ;\-\ \ "/>
    <numFmt numFmtId="185" formatCode="#,##0.0\ \ ;\-#,##0.0\ \ ;\ \ \ "/>
    <numFmt numFmtId="186" formatCode="#,##0.00\ \ ;\-#,##0.00\ \ ;0.00\ \ "/>
    <numFmt numFmtId="187" formatCode="#,##0.0_ ;\-#,##0.0\ "/>
    <numFmt numFmtId="188" formatCode="\(0\)"/>
    <numFmt numFmtId="189" formatCode="#,##0\ \ ;\-#,##0\ \ ;\-\ \ \ \ "/>
    <numFmt numFmtId="190" formatCode="0.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T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7"/>
      <name val="Calibri"/>
      <family val="2"/>
    </font>
    <font>
      <sz val="11"/>
      <color rgb="FFCCFFFF"/>
      <name val="Calibri"/>
      <family val="2"/>
    </font>
    <font>
      <u/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b/>
      <sz val="11"/>
      <color theme="3" tint="-0.24994659260841701"/>
      <name val="Calibri"/>
      <family val="2"/>
    </font>
    <font>
      <sz val="11"/>
      <color theme="3" tint="-0.24994659260841701"/>
      <name val="Calibri"/>
      <family val="2"/>
    </font>
    <font>
      <b/>
      <sz val="11"/>
      <color indexed="56"/>
      <name val="Calibri"/>
      <family val="2"/>
    </font>
    <font>
      <b/>
      <sz val="11"/>
      <color theme="5"/>
      <name val="Calibri"/>
      <family val="2"/>
    </font>
    <font>
      <sz val="18"/>
      <color indexed="10"/>
      <name val="Calibri"/>
      <family val="2"/>
    </font>
    <font>
      <sz val="12"/>
      <name val="Calibri"/>
      <family val="2"/>
    </font>
    <font>
      <b/>
      <sz val="16"/>
      <color rgb="FFFF0000"/>
      <name val="Calibri"/>
      <family val="2"/>
    </font>
    <font>
      <b/>
      <sz val="12"/>
      <name val="Calibri"/>
      <family val="2"/>
    </font>
    <font>
      <b/>
      <sz val="11"/>
      <color rgb="FFCCFFFF"/>
      <name val="Calibri"/>
      <family val="2"/>
    </font>
    <font>
      <sz val="10"/>
      <color theme="1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1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  <fill>
      <patternFill patternType="solid">
        <fgColor theme="7" tint="0.59996337778862885"/>
        <bgColor indexed="43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15"/>
      </patternFill>
    </fill>
    <fill>
      <patternFill patternType="solid">
        <fgColor rgb="FFFFFFFF"/>
        <bgColor indexed="15"/>
      </patternFill>
    </fill>
    <fill>
      <patternFill patternType="solid">
        <fgColor rgb="FFCCFFFF"/>
        <bgColor indexed="15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6795556505021"/>
        <bgColor indexed="64"/>
      </patternFill>
    </fill>
  </fills>
  <borders count="1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3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1" fillId="0" borderId="0"/>
  </cellStyleXfs>
  <cellXfs count="1968">
    <xf numFmtId="0" fontId="0" fillId="0" borderId="0" xfId="0"/>
    <xf numFmtId="0" fontId="11" fillId="0" borderId="0" xfId="10" applyFont="1" applyFill="1" applyBorder="1" applyProtection="1">
      <protection hidden="1"/>
    </xf>
    <xf numFmtId="0" fontId="11" fillId="0" borderId="0" xfId="10" applyFont="1" applyFill="1" applyBorder="1" applyAlignment="1" applyProtection="1">
      <alignment horizontal="center"/>
      <protection hidden="1"/>
    </xf>
    <xf numFmtId="0" fontId="8" fillId="2" borderId="0" xfId="0" applyNumberFormat="1" applyFont="1" applyFill="1" applyAlignment="1" applyProtection="1">
      <protection hidden="1"/>
    </xf>
    <xf numFmtId="0" fontId="8" fillId="5" borderId="36" xfId="0" applyNumberFormat="1" applyFont="1" applyFill="1" applyBorder="1" applyAlignment="1" applyProtection="1">
      <protection hidden="1"/>
    </xf>
    <xf numFmtId="0" fontId="8" fillId="5" borderId="60" xfId="0" applyNumberFormat="1" applyFont="1" applyFill="1" applyBorder="1" applyAlignment="1" applyProtection="1">
      <protection hidden="1"/>
    </xf>
    <xf numFmtId="0" fontId="8" fillId="5" borderId="37" xfId="0" applyNumberFormat="1" applyFont="1" applyFill="1" applyBorder="1" applyAlignment="1" applyProtection="1">
      <protection hidden="1"/>
    </xf>
    <xf numFmtId="0" fontId="8" fillId="5" borderId="0" xfId="0" applyFont="1" applyFill="1" applyProtection="1">
      <protection hidden="1"/>
    </xf>
    <xf numFmtId="0" fontId="8" fillId="5" borderId="0" xfId="0" applyFont="1" applyFill="1" applyAlignment="1" applyProtection="1">
      <protection hidden="1"/>
    </xf>
    <xf numFmtId="0" fontId="8" fillId="4" borderId="65" xfId="0" applyFont="1" applyFill="1" applyBorder="1" applyAlignment="1" applyProtection="1">
      <alignment vertical="center"/>
      <protection hidden="1"/>
    </xf>
    <xf numFmtId="0" fontId="9" fillId="4" borderId="65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8" fillId="4" borderId="0" xfId="0" applyFont="1" applyFill="1" applyBorder="1" applyAlignment="1" applyProtection="1">
      <alignment horizontal="left" indent="2"/>
      <protection hidden="1"/>
    </xf>
    <xf numFmtId="0" fontId="8" fillId="4" borderId="2" xfId="0" applyFont="1" applyFill="1" applyBorder="1" applyAlignment="1" applyProtection="1">
      <protection hidden="1"/>
    </xf>
    <xf numFmtId="0" fontId="9" fillId="9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left" vertical="center" indent="1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horizontal="left" indent="2"/>
      <protection hidden="1"/>
    </xf>
    <xf numFmtId="0" fontId="9" fillId="4" borderId="0" xfId="0" applyFont="1" applyFill="1" applyBorder="1" applyAlignment="1" applyProtection="1">
      <protection hidden="1"/>
    </xf>
    <xf numFmtId="0" fontId="9" fillId="4" borderId="5" xfId="0" applyFont="1" applyFill="1" applyBorder="1" applyAlignment="1" applyProtection="1">
      <alignment horizontal="center" vertical="top"/>
      <protection hidden="1"/>
    </xf>
    <xf numFmtId="0" fontId="9" fillId="4" borderId="44" xfId="0" applyFont="1" applyFill="1" applyBorder="1" applyAlignment="1" applyProtection="1">
      <alignment horizontal="center" vertical="top"/>
      <protection hidden="1"/>
    </xf>
    <xf numFmtId="0" fontId="9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8" fillId="2" borderId="0" xfId="0" applyFont="1" applyFill="1" applyAlignment="1" applyProtection="1">
      <protection hidden="1"/>
    </xf>
    <xf numFmtId="0" fontId="8" fillId="4" borderId="11" xfId="0" applyFont="1" applyFill="1" applyBorder="1" applyProtection="1">
      <protection hidden="1"/>
    </xf>
    <xf numFmtId="0" fontId="8" fillId="4" borderId="0" xfId="0" applyFont="1" applyFill="1" applyBorder="1" applyProtection="1">
      <protection hidden="1"/>
    </xf>
    <xf numFmtId="0" fontId="9" fillId="2" borderId="24" xfId="0" applyFont="1" applyFill="1" applyBorder="1" applyAlignment="1" applyProtection="1">
      <alignment vertical="top" wrapText="1"/>
      <protection hidden="1"/>
    </xf>
    <xf numFmtId="0" fontId="9" fillId="2" borderId="41" xfId="0" applyFont="1" applyFill="1" applyBorder="1" applyAlignment="1" applyProtection="1">
      <alignment vertical="top" wrapText="1"/>
      <protection hidden="1"/>
    </xf>
    <xf numFmtId="0" fontId="9" fillId="2" borderId="22" xfId="0" applyFont="1" applyFill="1" applyBorder="1" applyAlignment="1" applyProtection="1">
      <alignment vertical="top" wrapText="1"/>
      <protection hidden="1"/>
    </xf>
    <xf numFmtId="0" fontId="9" fillId="2" borderId="25" xfId="0" applyFont="1" applyFill="1" applyBorder="1" applyAlignment="1" applyProtection="1">
      <alignment vertical="top" wrapText="1"/>
      <protection hidden="1"/>
    </xf>
    <xf numFmtId="0" fontId="8" fillId="4" borderId="9" xfId="0" applyFont="1" applyFill="1" applyBorder="1" applyProtection="1">
      <protection hidden="1"/>
    </xf>
    <xf numFmtId="0" fontId="8" fillId="4" borderId="7" xfId="0" applyFont="1" applyFill="1" applyBorder="1" applyProtection="1">
      <protection hidden="1"/>
    </xf>
    <xf numFmtId="0" fontId="8" fillId="4" borderId="2" xfId="0" applyFont="1" applyFill="1" applyBorder="1" applyProtection="1">
      <protection hidden="1"/>
    </xf>
    <xf numFmtId="0" fontId="9" fillId="2" borderId="36" xfId="0" applyFont="1" applyFill="1" applyBorder="1" applyAlignment="1" applyProtection="1">
      <alignment horizontal="center" vertical="top" wrapText="1"/>
      <protection hidden="1"/>
    </xf>
    <xf numFmtId="0" fontId="9" fillId="2" borderId="28" xfId="0" applyFont="1" applyFill="1" applyBorder="1" applyAlignment="1" applyProtection="1">
      <alignment horizontal="center" vertical="top" wrapText="1"/>
      <protection hidden="1"/>
    </xf>
    <xf numFmtId="0" fontId="9" fillId="2" borderId="37" xfId="0" applyFont="1" applyFill="1" applyBorder="1" applyAlignment="1" applyProtection="1">
      <alignment horizontal="center" vertical="top" wrapText="1"/>
      <protection hidden="1"/>
    </xf>
    <xf numFmtId="178" fontId="8" fillId="0" borderId="31" xfId="0" applyNumberFormat="1" applyFont="1" applyFill="1" applyBorder="1" applyAlignment="1" applyProtection="1">
      <alignment vertical="center"/>
      <protection locked="0"/>
    </xf>
    <xf numFmtId="178" fontId="8" fillId="0" borderId="40" xfId="0" applyNumberFormat="1" applyFont="1" applyFill="1" applyBorder="1" applyAlignment="1" applyProtection="1">
      <alignment vertical="center"/>
      <protection locked="0"/>
    </xf>
    <xf numFmtId="178" fontId="8" fillId="4" borderId="31" xfId="0" applyNumberFormat="1" applyFont="1" applyFill="1" applyBorder="1" applyAlignment="1" applyProtection="1">
      <alignment vertical="center"/>
      <protection hidden="1"/>
    </xf>
    <xf numFmtId="169" fontId="8" fillId="4" borderId="31" xfId="0" applyNumberFormat="1" applyFont="1" applyFill="1" applyBorder="1" applyAlignment="1" applyProtection="1">
      <alignment vertical="center"/>
      <protection hidden="1"/>
    </xf>
    <xf numFmtId="169" fontId="8" fillId="4" borderId="32" xfId="0" applyNumberFormat="1" applyFont="1" applyFill="1" applyBorder="1" applyAlignment="1" applyProtection="1">
      <alignment horizontal="right" vertical="center"/>
      <protection hidden="1"/>
    </xf>
    <xf numFmtId="180" fontId="9" fillId="4" borderId="35" xfId="0" applyNumberFormat="1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vertical="top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2" fontId="8" fillId="2" borderId="35" xfId="0" applyNumberFormat="1" applyFont="1" applyFill="1" applyBorder="1" applyAlignment="1" applyProtection="1">
      <alignment horizontal="center" vertical="center"/>
      <protection hidden="1"/>
    </xf>
    <xf numFmtId="180" fontId="9" fillId="4" borderId="31" xfId="0" applyNumberFormat="1" applyFont="1" applyFill="1" applyBorder="1" applyAlignment="1" applyProtection="1">
      <alignment vertical="center"/>
      <protection hidden="1"/>
    </xf>
    <xf numFmtId="180" fontId="9" fillId="4" borderId="40" xfId="0" applyNumberFormat="1" applyFont="1" applyFill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protection hidden="1"/>
    </xf>
    <xf numFmtId="0" fontId="8" fillId="2" borderId="7" xfId="0" applyFont="1" applyFill="1" applyBorder="1" applyAlignment="1" applyProtection="1">
      <protection hidden="1"/>
    </xf>
    <xf numFmtId="2" fontId="8" fillId="2" borderId="7" xfId="0" applyNumberFormat="1" applyFont="1" applyFill="1" applyBorder="1" applyAlignment="1" applyProtection="1">
      <protection hidden="1"/>
    </xf>
    <xf numFmtId="2" fontId="8" fillId="2" borderId="45" xfId="0" applyNumberFormat="1" applyFont="1" applyFill="1" applyBorder="1" applyAlignment="1" applyProtection="1">
      <protection hidden="1"/>
    </xf>
    <xf numFmtId="169" fontId="8" fillId="4" borderId="7" xfId="0" applyNumberFormat="1" applyFont="1" applyFill="1" applyBorder="1" applyAlignment="1" applyProtection="1">
      <alignment vertical="center"/>
      <protection hidden="1"/>
    </xf>
    <xf numFmtId="169" fontId="8" fillId="4" borderId="11" xfId="0" applyNumberFormat="1" applyFont="1" applyFill="1" applyBorder="1" applyAlignment="1" applyProtection="1">
      <alignment vertical="center"/>
      <protection hidden="1"/>
    </xf>
    <xf numFmtId="169" fontId="8" fillId="4" borderId="0" xfId="0" applyNumberFormat="1" applyFont="1" applyFill="1" applyBorder="1" applyAlignment="1" applyProtection="1">
      <alignment vertical="center"/>
      <protection hidden="1"/>
    </xf>
    <xf numFmtId="169" fontId="8" fillId="4" borderId="9" xfId="0" applyNumberFormat="1" applyFont="1" applyFill="1" applyBorder="1" applyAlignment="1" applyProtection="1">
      <alignment vertical="center"/>
      <protection hidden="1"/>
    </xf>
    <xf numFmtId="169" fontId="8" fillId="4" borderId="2" xfId="0" applyNumberFormat="1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178" fontId="8" fillId="0" borderId="49" xfId="0" applyNumberFormat="1" applyFont="1" applyFill="1" applyBorder="1" applyAlignment="1" applyProtection="1">
      <alignment vertical="center"/>
      <protection locked="0"/>
    </xf>
    <xf numFmtId="178" fontId="8" fillId="0" borderId="92" xfId="0" applyNumberFormat="1" applyFont="1" applyFill="1" applyBorder="1" applyAlignment="1" applyProtection="1">
      <alignment vertical="center"/>
      <protection locked="0"/>
    </xf>
    <xf numFmtId="178" fontId="8" fillId="0" borderId="54" xfId="0" applyNumberFormat="1" applyFont="1" applyFill="1" applyBorder="1" applyAlignment="1" applyProtection="1">
      <alignment vertical="center"/>
      <protection locked="0"/>
    </xf>
    <xf numFmtId="169" fontId="8" fillId="4" borderId="52" xfId="0" applyNumberFormat="1" applyFont="1" applyFill="1" applyBorder="1" applyAlignment="1" applyProtection="1">
      <alignment vertical="center"/>
      <protection hidden="1"/>
    </xf>
    <xf numFmtId="180" fontId="9" fillId="4" borderId="53" xfId="0" applyNumberFormat="1" applyFont="1" applyFill="1" applyBorder="1" applyAlignment="1" applyProtection="1">
      <alignment vertical="center"/>
      <protection hidden="1"/>
    </xf>
    <xf numFmtId="169" fontId="8" fillId="4" borderId="32" xfId="0" applyNumberFormat="1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2" fontId="8" fillId="2" borderId="45" xfId="0" applyNumberFormat="1" applyFont="1" applyFill="1" applyBorder="1" applyAlignment="1" applyProtection="1">
      <alignment horizontal="center" vertical="center"/>
      <protection hidden="1"/>
    </xf>
    <xf numFmtId="178" fontId="8" fillId="0" borderId="50" xfId="0" applyNumberFormat="1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horizontal="center" vertical="center"/>
      <protection hidden="1"/>
    </xf>
    <xf numFmtId="2" fontId="8" fillId="2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8" fillId="2" borderId="32" xfId="0" applyFont="1" applyFill="1" applyBorder="1" applyAlignment="1" applyProtection="1">
      <alignment horizontal="center" vertical="center"/>
      <protection hidden="1"/>
    </xf>
    <xf numFmtId="2" fontId="8" fillId="2" borderId="33" xfId="0" applyNumberFormat="1" applyFont="1" applyFill="1" applyBorder="1" applyAlignment="1" applyProtection="1">
      <alignment horizontal="center" vertical="center"/>
      <protection hidden="1"/>
    </xf>
    <xf numFmtId="169" fontId="8" fillId="4" borderId="28" xfId="0" applyNumberFormat="1" applyFont="1" applyFill="1" applyBorder="1" applyAlignment="1" applyProtection="1">
      <alignment vertical="center"/>
      <protection hidden="1"/>
    </xf>
    <xf numFmtId="169" fontId="8" fillId="4" borderId="37" xfId="0" applyNumberFormat="1" applyFont="1" applyFill="1" applyBorder="1" applyAlignment="1" applyProtection="1">
      <alignment vertical="center"/>
      <protection hidden="1"/>
    </xf>
    <xf numFmtId="169" fontId="8" fillId="4" borderId="62" xfId="0" applyNumberFormat="1" applyFont="1" applyFill="1" applyBorder="1" applyAlignment="1" applyProtection="1">
      <alignment vertical="center"/>
      <protection hidden="1"/>
    </xf>
    <xf numFmtId="0" fontId="8" fillId="2" borderId="39" xfId="0" applyFont="1" applyFill="1" applyBorder="1" applyAlignment="1" applyProtection="1">
      <protection hidden="1"/>
    </xf>
    <xf numFmtId="0" fontId="8" fillId="2" borderId="50" xfId="0" applyFont="1" applyFill="1" applyBorder="1" applyAlignment="1" applyProtection="1">
      <protection hidden="1"/>
    </xf>
    <xf numFmtId="2" fontId="8" fillId="2" borderId="65" xfId="0" applyNumberFormat="1" applyFont="1" applyFill="1" applyBorder="1" applyAlignment="1" applyProtection="1">
      <protection hidden="1"/>
    </xf>
    <xf numFmtId="0" fontId="8" fillId="2" borderId="45" xfId="0" applyFont="1" applyFill="1" applyBorder="1" applyAlignment="1" applyProtection="1">
      <protection hidden="1"/>
    </xf>
    <xf numFmtId="178" fontId="8" fillId="0" borderId="52" xfId="0" applyNumberFormat="1" applyFont="1" applyFill="1" applyBorder="1" applyAlignment="1" applyProtection="1">
      <alignment vertical="center"/>
      <protection locked="0"/>
    </xf>
    <xf numFmtId="0" fontId="8" fillId="2" borderId="55" xfId="0" applyFont="1" applyFill="1" applyBorder="1" applyAlignment="1" applyProtection="1">
      <alignment horizontal="center" vertical="center"/>
      <protection hidden="1"/>
    </xf>
    <xf numFmtId="0" fontId="8" fillId="2" borderId="52" xfId="0" applyFont="1" applyFill="1" applyBorder="1" applyAlignment="1" applyProtection="1">
      <alignment horizontal="center" vertical="center"/>
      <protection hidden="1"/>
    </xf>
    <xf numFmtId="2" fontId="8" fillId="2" borderId="49" xfId="0" applyNumberFormat="1" applyFont="1" applyFill="1" applyBorder="1" applyAlignment="1" applyProtection="1">
      <alignment horizontal="center" vertical="center"/>
      <protection hidden="1"/>
    </xf>
    <xf numFmtId="2" fontId="8" fillId="2" borderId="53" xfId="0" applyNumberFormat="1" applyFont="1" applyFill="1" applyBorder="1" applyAlignment="1" applyProtection="1">
      <alignment horizontal="center" vertical="center"/>
      <protection hidden="1"/>
    </xf>
    <xf numFmtId="0" fontId="9" fillId="3" borderId="0" xfId="9" applyFont="1" applyFill="1" applyBorder="1" applyAlignment="1" applyProtection="1">
      <alignment horizontal="centerContinuous" vertical="center"/>
      <protection hidden="1"/>
    </xf>
    <xf numFmtId="0" fontId="8" fillId="2" borderId="9" xfId="0" applyFont="1" applyFill="1" applyBorder="1" applyProtection="1">
      <protection hidden="1"/>
    </xf>
    <xf numFmtId="0" fontId="8" fillId="4" borderId="60" xfId="0" applyFont="1" applyFill="1" applyBorder="1" applyAlignment="1" applyProtection="1">
      <alignment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top" wrapText="1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0" fontId="9" fillId="2" borderId="8" xfId="0" applyFont="1" applyFill="1" applyBorder="1" applyAlignment="1" applyProtection="1">
      <alignment horizontal="center" vertical="top" wrapText="1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8" fillId="2" borderId="65" xfId="0" applyFont="1" applyFill="1" applyBorder="1" applyAlignment="1" applyProtection="1">
      <protection hidden="1"/>
    </xf>
    <xf numFmtId="0" fontId="9" fillId="2" borderId="5" xfId="0" applyFont="1" applyFill="1" applyBorder="1" applyAlignment="1" applyProtection="1">
      <alignment horizontal="center" vertical="top" wrapText="1"/>
      <protection hidden="1"/>
    </xf>
    <xf numFmtId="0" fontId="8" fillId="4" borderId="65" xfId="0" applyFont="1" applyFill="1" applyBorder="1" applyProtection="1">
      <protection hidden="1"/>
    </xf>
    <xf numFmtId="0" fontId="9" fillId="4" borderId="65" xfId="0" applyFont="1" applyFill="1" applyBorder="1" applyAlignment="1" applyProtection="1">
      <alignment horizontal="right"/>
      <protection hidden="1"/>
    </xf>
    <xf numFmtId="0" fontId="8" fillId="4" borderId="1" xfId="0" applyFont="1" applyFill="1" applyBorder="1" applyProtection="1">
      <protection hidden="1"/>
    </xf>
    <xf numFmtId="0" fontId="9" fillId="4" borderId="62" xfId="0" applyFont="1" applyFill="1" applyBorder="1" applyAlignment="1" applyProtection="1">
      <alignment horizontal="centerContinuous" vertical="center"/>
      <protection hidden="1"/>
    </xf>
    <xf numFmtId="0" fontId="9" fillId="4" borderId="42" xfId="0" applyFont="1" applyFill="1" applyBorder="1" applyAlignment="1" applyProtection="1">
      <alignment horizontal="centerContinuous" vertical="center"/>
      <protection hidden="1"/>
    </xf>
    <xf numFmtId="0" fontId="9" fillId="4" borderId="5" xfId="0" applyFont="1" applyFill="1" applyBorder="1" applyAlignment="1" applyProtection="1">
      <alignment horizontal="center" vertical="top" wrapText="1"/>
      <protection hidden="1"/>
    </xf>
    <xf numFmtId="0" fontId="9" fillId="4" borderId="1" xfId="0" applyFont="1" applyFill="1" applyBorder="1" applyAlignment="1" applyProtection="1">
      <alignment horizontal="center" vertical="top" wrapText="1"/>
      <protection hidden="1"/>
    </xf>
    <xf numFmtId="0" fontId="9" fillId="4" borderId="45" xfId="0" applyFont="1" applyFill="1" applyBorder="1" applyAlignment="1" applyProtection="1">
      <alignment horizontal="center" vertical="top" wrapText="1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167" fontId="8" fillId="0" borderId="62" xfId="0" applyNumberFormat="1" applyFont="1" applyFill="1" applyBorder="1" applyAlignment="1" applyProtection="1">
      <alignment vertical="center"/>
      <protection locked="0"/>
    </xf>
    <xf numFmtId="170" fontId="8" fillId="0" borderId="28" xfId="0" applyNumberFormat="1" applyFont="1" applyFill="1" applyBorder="1" applyAlignment="1" applyProtection="1">
      <alignment vertical="center"/>
      <protection locked="0"/>
    </xf>
    <xf numFmtId="167" fontId="8" fillId="0" borderId="28" xfId="0" applyNumberFormat="1" applyFont="1" applyFill="1" applyBorder="1" applyAlignment="1" applyProtection="1">
      <alignment vertical="center"/>
      <protection locked="0"/>
    </xf>
    <xf numFmtId="170" fontId="8" fillId="0" borderId="42" xfId="0" applyNumberFormat="1" applyFont="1" applyFill="1" applyBorder="1" applyAlignment="1" applyProtection="1">
      <alignment vertical="center"/>
      <protection locked="0"/>
    </xf>
    <xf numFmtId="180" fontId="9" fillId="8" borderId="62" xfId="0" applyNumberFormat="1" applyFont="1" applyFill="1" applyBorder="1" applyAlignment="1" applyProtection="1">
      <alignment vertical="center"/>
      <protection hidden="1"/>
    </xf>
    <xf numFmtId="181" fontId="9" fillId="8" borderId="74" xfId="0" applyNumberFormat="1" applyFont="1" applyFill="1" applyBorder="1" applyAlignment="1" applyProtection="1">
      <alignment vertical="center"/>
      <protection hidden="1"/>
    </xf>
    <xf numFmtId="0" fontId="8" fillId="2" borderId="77" xfId="0" applyFont="1" applyFill="1" applyBorder="1" applyAlignment="1" applyProtection="1">
      <alignment horizontal="center" vertical="center" wrapText="1"/>
      <protection hidden="1"/>
    </xf>
    <xf numFmtId="0" fontId="8" fillId="2" borderId="78" xfId="0" applyFont="1" applyFill="1" applyBorder="1" applyAlignment="1" applyProtection="1">
      <alignment horizontal="center" vertical="center" wrapText="1"/>
      <protection hidden="1"/>
    </xf>
    <xf numFmtId="0" fontId="8" fillId="2" borderId="79" xfId="0" applyFont="1" applyFill="1" applyBorder="1" applyAlignment="1" applyProtection="1">
      <alignment horizontal="center" vertical="center" wrapText="1"/>
      <protection hidden="1"/>
    </xf>
    <xf numFmtId="167" fontId="8" fillId="0" borderId="14" xfId="0" applyNumberFormat="1" applyFont="1" applyFill="1" applyBorder="1" applyAlignment="1" applyProtection="1">
      <alignment vertical="center"/>
      <protection locked="0"/>
    </xf>
    <xf numFmtId="170" fontId="8" fillId="0" borderId="13" xfId="0" applyNumberFormat="1" applyFont="1" applyFill="1" applyBorder="1" applyAlignment="1" applyProtection="1">
      <alignment vertical="center"/>
      <protection locked="0"/>
    </xf>
    <xf numFmtId="167" fontId="8" fillId="0" borderId="13" xfId="0" applyNumberFormat="1" applyFont="1" applyFill="1" applyBorder="1" applyAlignment="1" applyProtection="1">
      <alignment vertical="center"/>
      <protection locked="0"/>
    </xf>
    <xf numFmtId="170" fontId="8" fillId="0" borderId="73" xfId="0" applyNumberFormat="1" applyFont="1" applyFill="1" applyBorder="1" applyAlignment="1" applyProtection="1">
      <alignment vertical="center"/>
      <protection locked="0"/>
    </xf>
    <xf numFmtId="180" fontId="9" fillId="8" borderId="14" xfId="0" applyNumberFormat="1" applyFont="1" applyFill="1" applyBorder="1" applyAlignment="1" applyProtection="1">
      <alignment vertical="center"/>
      <protection hidden="1"/>
    </xf>
    <xf numFmtId="181" fontId="9" fillId="8" borderId="75" xfId="0" applyNumberFormat="1" applyFont="1" applyFill="1" applyBorder="1" applyAlignment="1" applyProtection="1">
      <alignment vertical="center"/>
      <protection hidden="1"/>
    </xf>
    <xf numFmtId="0" fontId="8" fillId="2" borderId="55" xfId="0" applyFont="1" applyFill="1" applyBorder="1" applyAlignment="1" applyProtection="1">
      <alignment horizontal="center" vertical="center" wrapText="1"/>
      <protection hidden="1"/>
    </xf>
    <xf numFmtId="0" fontId="8" fillId="2" borderId="52" xfId="0" applyFont="1" applyFill="1" applyBorder="1" applyAlignment="1" applyProtection="1">
      <alignment horizontal="center" vertical="center" wrapText="1"/>
      <protection hidden="1"/>
    </xf>
    <xf numFmtId="0" fontId="8" fillId="2" borderId="53" xfId="0" applyFont="1" applyFill="1" applyBorder="1" applyAlignment="1" applyProtection="1">
      <alignment horizontal="center" vertical="center" wrapText="1"/>
      <protection hidden="1"/>
    </xf>
    <xf numFmtId="0" fontId="8" fillId="4" borderId="60" xfId="0" applyFont="1" applyFill="1" applyBorder="1" applyProtection="1">
      <protection hidden="1"/>
    </xf>
    <xf numFmtId="0" fontId="8" fillId="4" borderId="42" xfId="0" applyFont="1" applyFill="1" applyBorder="1" applyProtection="1"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Continuous"/>
      <protection hidden="1"/>
    </xf>
    <xf numFmtId="0" fontId="8" fillId="2" borderId="77" xfId="0" quotePrefix="1" applyFont="1" applyFill="1" applyBorder="1" applyAlignment="1" applyProtection="1">
      <alignment horizontal="center" vertical="center" wrapText="1"/>
      <protection hidden="1"/>
    </xf>
    <xf numFmtId="0" fontId="8" fillId="2" borderId="80" xfId="0" quotePrefix="1" applyFont="1" applyFill="1" applyBorder="1" applyAlignment="1" applyProtection="1">
      <alignment horizontal="center" vertical="center" wrapText="1"/>
      <protection hidden="1"/>
    </xf>
    <xf numFmtId="0" fontId="8" fillId="2" borderId="81" xfId="0" quotePrefix="1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protection hidden="1"/>
    </xf>
    <xf numFmtId="0" fontId="8" fillId="2" borderId="55" xfId="0" quotePrefix="1" applyFont="1" applyFill="1" applyBorder="1" applyAlignment="1" applyProtection="1">
      <alignment horizontal="center" vertical="center" wrapText="1"/>
      <protection hidden="1"/>
    </xf>
    <xf numFmtId="0" fontId="8" fillId="2" borderId="49" xfId="0" quotePrefix="1" applyFont="1" applyFill="1" applyBorder="1" applyAlignment="1" applyProtection="1">
      <alignment horizontal="center" vertical="center" wrapText="1"/>
      <protection hidden="1"/>
    </xf>
    <xf numFmtId="0" fontId="8" fillId="2" borderId="51" xfId="0" quotePrefix="1" applyFont="1" applyFill="1" applyBorder="1" applyAlignment="1" applyProtection="1">
      <alignment horizontal="center" vertical="center" wrapText="1"/>
      <protection hidden="1"/>
    </xf>
    <xf numFmtId="0" fontId="8" fillId="2" borderId="0" xfId="0" quotePrefix="1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8" fillId="4" borderId="2" xfId="0" applyFont="1" applyFill="1" applyBorder="1" applyAlignment="1" applyProtection="1">
      <alignment vertical="top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Protection="1">
      <protection hidden="1"/>
    </xf>
    <xf numFmtId="0" fontId="17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8" fillId="4" borderId="2" xfId="0" applyFont="1" applyFill="1" applyBorder="1" applyAlignment="1" applyProtection="1">
      <alignment horizontal="right"/>
      <protection hidden="1"/>
    </xf>
    <xf numFmtId="181" fontId="9" fillId="4" borderId="29" xfId="0" applyNumberFormat="1" applyFont="1" applyFill="1" applyBorder="1" applyAlignment="1" applyProtection="1">
      <alignment vertical="center"/>
      <protection hidden="1"/>
    </xf>
    <xf numFmtId="181" fontId="9" fillId="4" borderId="49" xfId="0" applyNumberFormat="1" applyFont="1" applyFill="1" applyBorder="1" applyAlignment="1" applyProtection="1">
      <alignment vertical="center"/>
      <protection hidden="1"/>
    </xf>
    <xf numFmtId="181" fontId="9" fillId="4" borderId="51" xfId="0" applyNumberFormat="1" applyFont="1" applyFill="1" applyBorder="1" applyAlignment="1" applyProtection="1">
      <alignment vertical="center"/>
      <protection hidden="1"/>
    </xf>
    <xf numFmtId="0" fontId="14" fillId="4" borderId="60" xfId="0" applyFont="1" applyFill="1" applyBorder="1" applyAlignment="1" applyProtection="1">
      <alignment horizontal="left" vertical="center"/>
      <protection hidden="1"/>
    </xf>
    <xf numFmtId="0" fontId="8" fillId="4" borderId="60" xfId="0" applyFont="1" applyFill="1" applyBorder="1" applyAlignment="1" applyProtection="1">
      <alignment horizontal="centerContinuous" vertical="center"/>
      <protection hidden="1"/>
    </xf>
    <xf numFmtId="0" fontId="8" fillId="4" borderId="42" xfId="0" applyFont="1" applyFill="1" applyBorder="1" applyAlignment="1" applyProtection="1">
      <alignment horizontal="centerContinuous" vertical="center"/>
      <protection hidden="1"/>
    </xf>
    <xf numFmtId="182" fontId="8" fillId="0" borderId="42" xfId="0" applyNumberFormat="1" applyFont="1" applyFill="1" applyBorder="1" applyAlignment="1" applyProtection="1">
      <alignment vertical="center"/>
      <protection locked="0"/>
    </xf>
    <xf numFmtId="182" fontId="8" fillId="0" borderId="28" xfId="0" applyNumberFormat="1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0" fontId="9" fillId="4" borderId="44" xfId="0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Border="1" applyAlignment="1" applyProtection="1">
      <alignment horizontal="center" vertical="top"/>
      <protection hidden="1"/>
    </xf>
    <xf numFmtId="0" fontId="9" fillId="4" borderId="7" xfId="0" applyFont="1" applyFill="1" applyBorder="1" applyAlignment="1" applyProtection="1">
      <alignment horizontal="center" vertical="top"/>
      <protection hidden="1"/>
    </xf>
    <xf numFmtId="0" fontId="9" fillId="4" borderId="7" xfId="0" applyFont="1" applyFill="1" applyBorder="1" applyAlignment="1" applyProtection="1">
      <alignment horizontal="center" vertical="top" wrapText="1"/>
      <protection hidden="1"/>
    </xf>
    <xf numFmtId="0" fontId="8" fillId="3" borderId="65" xfId="0" applyFont="1" applyFill="1" applyBorder="1" applyAlignment="1" applyProtection="1">
      <alignment vertical="center"/>
      <protection hidden="1"/>
    </xf>
    <xf numFmtId="0" fontId="9" fillId="3" borderId="65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horizontal="right" vertical="center" indent="1"/>
      <protection hidden="1"/>
    </xf>
    <xf numFmtId="0" fontId="8" fillId="3" borderId="0" xfId="0" applyFont="1" applyFill="1" applyBorder="1" applyAlignment="1" applyProtection="1">
      <alignment horizontal="left" vertical="center" indent="2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8" fillId="3" borderId="2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8" fillId="3" borderId="2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Protection="1">
      <protection hidden="1"/>
    </xf>
    <xf numFmtId="0" fontId="8" fillId="3" borderId="2" xfId="0" applyFont="1" applyFill="1" applyBorder="1" applyProtection="1"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Protection="1">
      <protection hidden="1"/>
    </xf>
    <xf numFmtId="0" fontId="8" fillId="3" borderId="7" xfId="0" applyFont="1" applyFill="1" applyBorder="1" applyProtection="1">
      <protection hidden="1"/>
    </xf>
    <xf numFmtId="0" fontId="8" fillId="3" borderId="11" xfId="0" applyFont="1" applyFill="1" applyBorder="1" applyProtection="1">
      <protection hidden="1"/>
    </xf>
    <xf numFmtId="0" fontId="8" fillId="2" borderId="0" xfId="0" applyFont="1" applyFill="1" applyBorder="1" applyAlignment="1" applyProtection="1">
      <protection hidden="1"/>
    </xf>
    <xf numFmtId="180" fontId="18" fillId="2" borderId="33" xfId="0" applyNumberFormat="1" applyFont="1" applyFill="1" applyBorder="1" applyAlignment="1" applyProtection="1">
      <alignment vertical="center"/>
      <protection hidden="1"/>
    </xf>
    <xf numFmtId="169" fontId="8" fillId="3" borderId="2" xfId="0" applyNumberFormat="1" applyFont="1" applyFill="1" applyBorder="1" applyProtection="1">
      <protection hidden="1"/>
    </xf>
    <xf numFmtId="169" fontId="8" fillId="3" borderId="7" xfId="0" applyNumberFormat="1" applyFont="1" applyFill="1" applyBorder="1" applyAlignment="1" applyProtection="1">
      <alignment horizontal="center" vertical="center"/>
      <protection hidden="1"/>
    </xf>
    <xf numFmtId="169" fontId="8" fillId="3" borderId="0" xfId="0" applyNumberFormat="1" applyFont="1" applyFill="1" applyBorder="1" applyAlignment="1" applyProtection="1">
      <alignment horizontal="center" vertical="center"/>
      <protection hidden="1"/>
    </xf>
    <xf numFmtId="178" fontId="8" fillId="0" borderId="5" xfId="0" applyNumberFormat="1" applyFont="1" applyFill="1" applyBorder="1" applyAlignment="1" applyProtection="1">
      <alignment vertical="center"/>
      <protection locked="0"/>
    </xf>
    <xf numFmtId="180" fontId="9" fillId="2" borderId="31" xfId="0" applyNumberFormat="1" applyFont="1" applyFill="1" applyBorder="1" applyAlignment="1" applyProtection="1">
      <alignment vertical="center"/>
      <protection hidden="1"/>
    </xf>
    <xf numFmtId="169" fontId="8" fillId="3" borderId="5" xfId="0" applyNumberFormat="1" applyFont="1" applyFill="1" applyBorder="1" applyAlignment="1" applyProtection="1">
      <alignment horizontal="center" vertical="center"/>
      <protection hidden="1"/>
    </xf>
    <xf numFmtId="169" fontId="8" fillId="3" borderId="65" xfId="0" applyNumberFormat="1" applyFont="1" applyFill="1" applyBorder="1" applyAlignment="1" applyProtection="1">
      <alignment horizontal="center" vertical="center"/>
      <protection hidden="1"/>
    </xf>
    <xf numFmtId="170" fontId="8" fillId="2" borderId="7" xfId="0" applyNumberFormat="1" applyFont="1" applyFill="1" applyBorder="1" applyAlignment="1" applyProtection="1">
      <alignment vertical="center"/>
      <protection hidden="1"/>
    </xf>
    <xf numFmtId="170" fontId="8" fillId="2" borderId="11" xfId="0" applyNumberFormat="1" applyFont="1" applyFill="1" applyBorder="1" applyAlignment="1" applyProtection="1">
      <alignment vertical="center"/>
      <protection hidden="1"/>
    </xf>
    <xf numFmtId="170" fontId="8" fillId="2" borderId="5" xfId="0" applyNumberFormat="1" applyFont="1" applyFill="1" applyBorder="1" applyAlignment="1" applyProtection="1">
      <alignment vertical="center"/>
      <protection hidden="1"/>
    </xf>
    <xf numFmtId="170" fontId="8" fillId="2" borderId="45" xfId="0" applyNumberFormat="1" applyFont="1" applyFill="1" applyBorder="1" applyAlignment="1" applyProtection="1">
      <alignment vertical="center"/>
      <protection hidden="1"/>
    </xf>
    <xf numFmtId="180" fontId="9" fillId="2" borderId="49" xfId="0" applyNumberFormat="1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horizontal="centerContinuous" vertical="center"/>
      <protection hidden="1"/>
    </xf>
    <xf numFmtId="172" fontId="8" fillId="5" borderId="0" xfId="4" applyNumberFormat="1" applyFont="1" applyFill="1" applyBorder="1" applyAlignment="1" applyProtection="1">
      <protection hidden="1"/>
    </xf>
    <xf numFmtId="0" fontId="8" fillId="9" borderId="0" xfId="4" applyFont="1" applyFill="1" applyBorder="1" applyAlignment="1" applyProtection="1">
      <alignment vertical="top"/>
      <protection hidden="1"/>
    </xf>
    <xf numFmtId="0" fontId="8" fillId="5" borderId="0" xfId="4" applyFont="1" applyFill="1" applyBorder="1" applyAlignment="1" applyProtection="1">
      <alignment vertical="top"/>
      <protection hidden="1"/>
    </xf>
    <xf numFmtId="0" fontId="9" fillId="5" borderId="0" xfId="0" applyNumberFormat="1" applyFont="1" applyFill="1" applyBorder="1" applyAlignment="1" applyProtection="1">
      <alignment horizontal="right" vertical="center" indent="1"/>
      <protection hidden="1"/>
    </xf>
    <xf numFmtId="0" fontId="8" fillId="5" borderId="0" xfId="4" applyFont="1" applyFill="1" applyBorder="1" applyAlignment="1" applyProtection="1">
      <protection hidden="1"/>
    </xf>
    <xf numFmtId="172" fontId="8" fillId="6" borderId="0" xfId="0" applyNumberFormat="1" applyFont="1" applyFill="1" applyBorder="1" applyAlignment="1" applyProtection="1">
      <protection hidden="1"/>
    </xf>
    <xf numFmtId="172" fontId="9" fillId="6" borderId="0" xfId="0" applyNumberFormat="1" applyFont="1" applyFill="1" applyBorder="1" applyAlignment="1" applyProtection="1">
      <alignment vertical="center" wrapText="1"/>
      <protection hidden="1"/>
    </xf>
    <xf numFmtId="172" fontId="9" fillId="6" borderId="0" xfId="0" applyNumberFormat="1" applyFont="1" applyFill="1" applyBorder="1" applyAlignment="1" applyProtection="1">
      <alignment horizontal="right" vertical="center" indent="1"/>
      <protection hidden="1"/>
    </xf>
    <xf numFmtId="172" fontId="9" fillId="11" borderId="0" xfId="0" applyNumberFormat="1" applyFont="1" applyFill="1" applyBorder="1" applyAlignment="1" applyProtection="1">
      <alignment horizontal="right" vertical="center" indent="1"/>
      <protection hidden="1"/>
    </xf>
    <xf numFmtId="172" fontId="9" fillId="11" borderId="0" xfId="0" applyNumberFormat="1" applyFont="1" applyFill="1" applyBorder="1" applyAlignment="1" applyProtection="1">
      <alignment vertical="center" wrapText="1"/>
      <protection hidden="1"/>
    </xf>
    <xf numFmtId="0" fontId="19" fillId="11" borderId="0" xfId="0" applyFont="1" applyFill="1" applyBorder="1" applyAlignment="1" applyProtection="1">
      <protection hidden="1"/>
    </xf>
    <xf numFmtId="0" fontId="8" fillId="7" borderId="0" xfId="4" applyFont="1" applyFill="1" applyBorder="1" applyAlignment="1" applyProtection="1">
      <protection hidden="1"/>
    </xf>
    <xf numFmtId="0" fontId="19" fillId="6" borderId="0" xfId="0" applyFont="1" applyFill="1" applyBorder="1" applyAlignment="1" applyProtection="1">
      <protection hidden="1"/>
    </xf>
    <xf numFmtId="0" fontId="20" fillId="5" borderId="26" xfId="4" applyFont="1" applyFill="1" applyBorder="1" applyAlignment="1" applyProtection="1">
      <alignment vertical="center"/>
      <protection hidden="1"/>
    </xf>
    <xf numFmtId="0" fontId="9" fillId="5" borderId="0" xfId="4" applyFont="1" applyFill="1" applyBorder="1" applyAlignment="1" applyProtection="1">
      <alignment horizontal="center" vertical="center"/>
      <protection hidden="1"/>
    </xf>
    <xf numFmtId="0" fontId="13" fillId="11" borderId="0" xfId="0" applyFont="1" applyFill="1" applyBorder="1" applyAlignment="1" applyProtection="1">
      <alignment vertical="center"/>
      <protection hidden="1"/>
    </xf>
    <xf numFmtId="0" fontId="8" fillId="5" borderId="12" xfId="4" applyFont="1" applyFill="1" applyBorder="1" applyAlignment="1" applyProtection="1">
      <alignment vertical="center"/>
      <protection hidden="1"/>
    </xf>
    <xf numFmtId="0" fontId="8" fillId="5" borderId="0" xfId="4" applyFont="1" applyFill="1" applyBorder="1" applyProtection="1">
      <protection hidden="1"/>
    </xf>
    <xf numFmtId="0" fontId="13" fillId="11" borderId="0" xfId="0" applyFont="1" applyFill="1" applyBorder="1" applyAlignment="1" applyProtection="1">
      <protection hidden="1"/>
    </xf>
    <xf numFmtId="0" fontId="8" fillId="5" borderId="12" xfId="0" applyFont="1" applyFill="1" applyBorder="1" applyAlignment="1" applyProtection="1">
      <alignment vertical="center"/>
      <protection hidden="1"/>
    </xf>
    <xf numFmtId="0" fontId="9" fillId="5" borderId="31" xfId="0" applyNumberFormat="1" applyFont="1" applyFill="1" applyBorder="1" applyAlignment="1" applyProtection="1">
      <alignment horizontal="center" vertical="center"/>
      <protection hidden="1"/>
    </xf>
    <xf numFmtId="0" fontId="9" fillId="5" borderId="7" xfId="4" applyFont="1" applyFill="1" applyBorder="1" applyAlignment="1" applyProtection="1">
      <alignment horizontal="center" vertical="top"/>
      <protection hidden="1"/>
    </xf>
    <xf numFmtId="0" fontId="9" fillId="5" borderId="0" xfId="4" applyFont="1" applyFill="1" applyBorder="1" applyAlignment="1" applyProtection="1">
      <alignment horizontal="center" vertical="top"/>
      <protection hidden="1"/>
    </xf>
    <xf numFmtId="0" fontId="20" fillId="5" borderId="12" xfId="4" applyFont="1" applyFill="1" applyBorder="1" applyAlignment="1" applyProtection="1">
      <alignment horizontal="left" vertical="center" indent="1"/>
      <protection hidden="1"/>
    </xf>
    <xf numFmtId="0" fontId="8" fillId="5" borderId="7" xfId="0" applyFont="1" applyFill="1" applyBorder="1" applyAlignment="1" applyProtection="1">
      <protection hidden="1"/>
    </xf>
    <xf numFmtId="0" fontId="8" fillId="5" borderId="8" xfId="0" applyFont="1" applyFill="1" applyBorder="1" applyAlignment="1" applyProtection="1">
      <protection hidden="1"/>
    </xf>
    <xf numFmtId="0" fontId="8" fillId="5" borderId="7" xfId="4" applyFont="1" applyFill="1" applyBorder="1" applyProtection="1">
      <protection hidden="1"/>
    </xf>
    <xf numFmtId="0" fontId="8" fillId="5" borderId="8" xfId="4" applyFont="1" applyFill="1" applyBorder="1" applyProtection="1">
      <protection hidden="1"/>
    </xf>
    <xf numFmtId="0" fontId="8" fillId="12" borderId="0" xfId="4" applyFont="1" applyFill="1" applyBorder="1" applyProtection="1">
      <protection hidden="1"/>
    </xf>
    <xf numFmtId="0" fontId="8" fillId="5" borderId="12" xfId="0" applyFont="1" applyFill="1" applyBorder="1" applyAlignment="1" applyProtection="1"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9" fillId="5" borderId="6" xfId="0" applyFont="1" applyFill="1" applyBorder="1" applyAlignment="1" applyProtection="1">
      <alignment horizontal="center" vertical="center" wrapText="1"/>
      <protection hidden="1"/>
    </xf>
    <xf numFmtId="0" fontId="9" fillId="5" borderId="11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7" xfId="0" applyFont="1" applyFill="1" applyBorder="1" applyAlignment="1" applyProtection="1">
      <alignment horizontal="center" vertical="center" wrapText="1"/>
      <protection hidden="1"/>
    </xf>
    <xf numFmtId="0" fontId="9" fillId="12" borderId="10" xfId="0" applyFont="1" applyFill="1" applyBorder="1" applyAlignment="1" applyProtection="1">
      <alignment horizontal="center" vertical="center" wrapText="1"/>
      <protection hidden="1"/>
    </xf>
    <xf numFmtId="0" fontId="9" fillId="12" borderId="7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top" wrapText="1"/>
      <protection hidden="1"/>
    </xf>
    <xf numFmtId="0" fontId="9" fillId="5" borderId="7" xfId="0" applyFont="1" applyFill="1" applyBorder="1" applyAlignment="1" applyProtection="1">
      <alignment horizontal="center" vertical="top" wrapText="1"/>
      <protection hidden="1"/>
    </xf>
    <xf numFmtId="0" fontId="9" fillId="5" borderId="6" xfId="0" applyFont="1" applyFill="1" applyBorder="1" applyAlignment="1" applyProtection="1">
      <alignment horizontal="center" vertical="top" wrapText="1"/>
      <protection hidden="1"/>
    </xf>
    <xf numFmtId="0" fontId="9" fillId="5" borderId="8" xfId="0" applyFont="1" applyFill="1" applyBorder="1" applyAlignment="1" applyProtection="1">
      <alignment horizontal="center" vertical="top" wrapText="1"/>
      <protection hidden="1"/>
    </xf>
    <xf numFmtId="0" fontId="9" fillId="5" borderId="0" xfId="0" applyFont="1" applyFill="1" applyBorder="1" applyAlignment="1" applyProtection="1">
      <alignment horizontal="center" vertical="top" wrapText="1"/>
      <protection hidden="1"/>
    </xf>
    <xf numFmtId="0" fontId="9" fillId="5" borderId="12" xfId="0" applyFont="1" applyFill="1" applyBorder="1" applyAlignment="1" applyProtection="1">
      <alignment horizontal="center" vertical="top" wrapText="1"/>
      <protection hidden="1"/>
    </xf>
    <xf numFmtId="0" fontId="21" fillId="7" borderId="6" xfId="0" applyFont="1" applyFill="1" applyBorder="1" applyAlignment="1" applyProtection="1">
      <alignment horizontal="center" vertical="top" wrapText="1"/>
      <protection hidden="1"/>
    </xf>
    <xf numFmtId="0" fontId="21" fillId="7" borderId="7" xfId="0" applyFont="1" applyFill="1" applyBorder="1" applyAlignment="1" applyProtection="1">
      <alignment horizontal="center" vertical="top" wrapText="1"/>
      <protection hidden="1"/>
    </xf>
    <xf numFmtId="0" fontId="21" fillId="7" borderId="8" xfId="0" applyFont="1" applyFill="1" applyBorder="1" applyAlignment="1" applyProtection="1">
      <alignment horizontal="center" vertical="top" wrapText="1"/>
      <protection hidden="1"/>
    </xf>
    <xf numFmtId="0" fontId="22" fillId="12" borderId="6" xfId="0" applyFont="1" applyFill="1" applyBorder="1" applyAlignment="1" applyProtection="1">
      <alignment horizontal="center" vertical="top" wrapText="1"/>
      <protection hidden="1"/>
    </xf>
    <xf numFmtId="0" fontId="22" fillId="12" borderId="7" xfId="0" applyFont="1" applyFill="1" applyBorder="1" applyAlignment="1" applyProtection="1">
      <alignment horizontal="center" vertical="top" wrapText="1"/>
      <protection hidden="1"/>
    </xf>
    <xf numFmtId="0" fontId="22" fillId="12" borderId="8" xfId="0" applyFont="1" applyFill="1" applyBorder="1" applyAlignment="1" applyProtection="1">
      <alignment horizontal="center" vertical="top" wrapText="1"/>
      <protection hidden="1"/>
    </xf>
    <xf numFmtId="0" fontId="9" fillId="5" borderId="59" xfId="4" applyFont="1" applyFill="1" applyBorder="1" applyAlignment="1" applyProtection="1">
      <alignment horizontal="left" vertical="center" indent="1"/>
      <protection hidden="1"/>
    </xf>
    <xf numFmtId="172" fontId="8" fillId="5" borderId="19" xfId="7" applyNumberFormat="1" applyFont="1" applyFill="1" applyBorder="1" applyAlignment="1" applyProtection="1">
      <alignment vertical="center"/>
      <protection hidden="1"/>
    </xf>
    <xf numFmtId="172" fontId="8" fillId="5" borderId="20" xfId="7" applyNumberFormat="1" applyFont="1" applyFill="1" applyBorder="1" applyAlignment="1" applyProtection="1">
      <alignment vertical="center"/>
      <protection hidden="1"/>
    </xf>
    <xf numFmtId="178" fontId="18" fillId="0" borderId="57" xfId="4" applyNumberFormat="1" applyFont="1" applyFill="1" applyBorder="1" applyAlignment="1" applyProtection="1">
      <alignment vertical="center"/>
      <protection locked="0"/>
    </xf>
    <xf numFmtId="178" fontId="7" fillId="0" borderId="20" xfId="4" applyNumberFormat="1" applyFont="1" applyFill="1" applyBorder="1" applyAlignment="1" applyProtection="1">
      <alignment vertical="center"/>
      <protection locked="0"/>
    </xf>
    <xf numFmtId="0" fontId="8" fillId="5" borderId="20" xfId="4" applyFont="1" applyFill="1" applyBorder="1" applyProtection="1">
      <protection hidden="1"/>
    </xf>
    <xf numFmtId="179" fontId="9" fillId="5" borderId="16" xfId="4" applyNumberFormat="1" applyFont="1" applyFill="1" applyBorder="1" applyAlignment="1" applyProtection="1">
      <alignment vertical="center"/>
      <protection hidden="1"/>
    </xf>
    <xf numFmtId="178" fontId="8" fillId="0" borderId="57" xfId="4" applyNumberFormat="1" applyFont="1" applyFill="1" applyBorder="1" applyAlignment="1" applyProtection="1">
      <alignment vertical="center"/>
      <protection locked="0"/>
    </xf>
    <xf numFmtId="178" fontId="8" fillId="0" borderId="20" xfId="4" applyNumberFormat="1" applyFont="1" applyFill="1" applyBorder="1" applyAlignment="1" applyProtection="1">
      <alignment vertical="center"/>
      <protection locked="0"/>
    </xf>
    <xf numFmtId="180" fontId="18" fillId="5" borderId="48" xfId="4" applyNumberFormat="1" applyFont="1" applyFill="1" applyBorder="1" applyAlignment="1" applyProtection="1">
      <alignment vertical="center"/>
      <protection hidden="1"/>
    </xf>
    <xf numFmtId="180" fontId="9" fillId="5" borderId="82" xfId="4" applyNumberFormat="1" applyFont="1" applyFill="1" applyBorder="1" applyAlignment="1" applyProtection="1">
      <alignment vertical="center"/>
      <protection hidden="1"/>
    </xf>
    <xf numFmtId="180" fontId="9" fillId="5" borderId="31" xfId="4" applyNumberFormat="1" applyFont="1" applyFill="1" applyBorder="1" applyAlignment="1" applyProtection="1">
      <alignment vertical="center"/>
      <protection hidden="1"/>
    </xf>
    <xf numFmtId="180" fontId="9" fillId="5" borderId="48" xfId="4" applyNumberFormat="1" applyFont="1" applyFill="1" applyBorder="1" applyAlignment="1" applyProtection="1">
      <alignment vertical="center"/>
      <protection hidden="1"/>
    </xf>
    <xf numFmtId="0" fontId="8" fillId="5" borderId="21" xfId="4" applyFont="1" applyFill="1" applyBorder="1" applyProtection="1">
      <protection hidden="1"/>
    </xf>
    <xf numFmtId="0" fontId="8" fillId="5" borderId="22" xfId="4" applyFont="1" applyFill="1" applyBorder="1" applyProtection="1">
      <protection hidden="1"/>
    </xf>
    <xf numFmtId="0" fontId="8" fillId="5" borderId="23" xfId="4" applyFont="1" applyFill="1" applyBorder="1" applyProtection="1">
      <protection hidden="1"/>
    </xf>
    <xf numFmtId="0" fontId="8" fillId="5" borderId="12" xfId="4" applyFont="1" applyFill="1" applyBorder="1" applyProtection="1">
      <protection hidden="1"/>
    </xf>
    <xf numFmtId="180" fontId="8" fillId="7" borderId="46" xfId="4" applyNumberFormat="1" applyFont="1" applyFill="1" applyBorder="1" applyAlignment="1" applyProtection="1">
      <alignment vertical="center"/>
      <protection hidden="1"/>
    </xf>
    <xf numFmtId="180" fontId="8" fillId="7" borderId="20" xfId="4" applyNumberFormat="1" applyFont="1" applyFill="1" applyBorder="1" applyAlignment="1" applyProtection="1">
      <alignment vertical="center"/>
      <protection hidden="1"/>
    </xf>
    <xf numFmtId="180" fontId="8" fillId="12" borderId="46" xfId="4" applyNumberFormat="1" applyFont="1" applyFill="1" applyBorder="1" applyAlignment="1" applyProtection="1">
      <alignment vertical="center"/>
      <protection hidden="1"/>
    </xf>
    <xf numFmtId="180" fontId="8" fillId="12" borderId="20" xfId="4" applyNumberFormat="1" applyFont="1" applyFill="1" applyBorder="1" applyAlignment="1" applyProtection="1">
      <alignment vertical="center"/>
      <protection hidden="1"/>
    </xf>
    <xf numFmtId="180" fontId="9" fillId="12" borderId="48" xfId="4" applyNumberFormat="1" applyFont="1" applyFill="1" applyBorder="1" applyAlignment="1" applyProtection="1">
      <alignment vertical="center"/>
      <protection hidden="1"/>
    </xf>
    <xf numFmtId="0" fontId="9" fillId="5" borderId="26" xfId="4" applyFont="1" applyFill="1" applyBorder="1" applyAlignment="1" applyProtection="1">
      <alignment horizontal="left" vertical="center" indent="1"/>
      <protection hidden="1"/>
    </xf>
    <xf numFmtId="172" fontId="8" fillId="5" borderId="24" xfId="7" applyNumberFormat="1" applyFont="1" applyFill="1" applyBorder="1" applyAlignment="1" applyProtection="1">
      <alignment vertical="center"/>
      <protection hidden="1"/>
    </xf>
    <xf numFmtId="172" fontId="8" fillId="5" borderId="22" xfId="7" applyNumberFormat="1" applyFont="1" applyFill="1" applyBorder="1" applyAlignment="1" applyProtection="1">
      <alignment vertical="center"/>
      <protection hidden="1"/>
    </xf>
    <xf numFmtId="176" fontId="7" fillId="5" borderId="47" xfId="4" applyNumberFormat="1" applyFont="1" applyFill="1" applyBorder="1" applyAlignment="1" applyProtection="1">
      <alignment horizontal="right" vertical="center" indent="1"/>
      <protection hidden="1"/>
    </xf>
    <xf numFmtId="0" fontId="8" fillId="5" borderId="25" xfId="4" applyFont="1" applyFill="1" applyBorder="1" applyProtection="1">
      <protection hidden="1"/>
    </xf>
    <xf numFmtId="0" fontId="8" fillId="5" borderId="26" xfId="4" applyFont="1" applyFill="1" applyBorder="1" applyProtection="1">
      <protection hidden="1"/>
    </xf>
    <xf numFmtId="0" fontId="8" fillId="7" borderId="24" xfId="4" applyFont="1" applyFill="1" applyBorder="1" applyProtection="1">
      <protection hidden="1"/>
    </xf>
    <xf numFmtId="0" fontId="8" fillId="7" borderId="22" xfId="4" applyFont="1" applyFill="1" applyBorder="1" applyProtection="1">
      <protection hidden="1"/>
    </xf>
    <xf numFmtId="0" fontId="8" fillId="7" borderId="21" xfId="4" applyFont="1" applyFill="1" applyBorder="1" applyProtection="1">
      <protection hidden="1"/>
    </xf>
    <xf numFmtId="0" fontId="8" fillId="7" borderId="23" xfId="4" applyFont="1" applyFill="1" applyBorder="1" applyProtection="1">
      <protection hidden="1"/>
    </xf>
    <xf numFmtId="0" fontId="8" fillId="12" borderId="24" xfId="4" applyFont="1" applyFill="1" applyBorder="1" applyProtection="1">
      <protection hidden="1"/>
    </xf>
    <xf numFmtId="0" fontId="8" fillId="12" borderId="22" xfId="4" applyFont="1" applyFill="1" applyBorder="1" applyProtection="1">
      <protection hidden="1"/>
    </xf>
    <xf numFmtId="0" fontId="8" fillId="12" borderId="25" xfId="4" applyFont="1" applyFill="1" applyBorder="1" applyProtection="1">
      <protection hidden="1"/>
    </xf>
    <xf numFmtId="0" fontId="20" fillId="5" borderId="12" xfId="4" applyFont="1" applyFill="1" applyBorder="1" applyAlignment="1" applyProtection="1">
      <alignment horizontal="left" vertical="center" indent="3"/>
      <protection hidden="1"/>
    </xf>
    <xf numFmtId="172" fontId="8" fillId="5" borderId="27" xfId="7" applyNumberFormat="1" applyFont="1" applyFill="1" applyBorder="1" applyAlignment="1" applyProtection="1">
      <alignment vertical="center"/>
      <protection hidden="1"/>
    </xf>
    <xf numFmtId="172" fontId="8" fillId="5" borderId="28" xfId="7" applyNumberFormat="1" applyFont="1" applyFill="1" applyBorder="1" applyAlignment="1" applyProtection="1">
      <alignment vertical="center"/>
      <protection hidden="1"/>
    </xf>
    <xf numFmtId="176" fontId="7" fillId="5" borderId="62" xfId="4" applyNumberFormat="1" applyFont="1" applyFill="1" applyBorder="1" applyAlignment="1" applyProtection="1">
      <alignment horizontal="right" vertical="center" indent="1"/>
      <protection hidden="1"/>
    </xf>
    <xf numFmtId="0" fontId="8" fillId="5" borderId="28" xfId="4" applyFont="1" applyFill="1" applyBorder="1" applyProtection="1">
      <protection hidden="1"/>
    </xf>
    <xf numFmtId="0" fontId="8" fillId="5" borderId="29" xfId="4" applyFont="1" applyFill="1" applyBorder="1" applyProtection="1">
      <protection hidden="1"/>
    </xf>
    <xf numFmtId="0" fontId="8" fillId="5" borderId="10" xfId="4" applyFont="1" applyFill="1" applyBorder="1" applyProtection="1">
      <protection hidden="1"/>
    </xf>
    <xf numFmtId="0" fontId="8" fillId="5" borderId="11" xfId="4" applyFont="1" applyFill="1" applyBorder="1" applyProtection="1">
      <protection hidden="1"/>
    </xf>
    <xf numFmtId="0" fontId="8" fillId="7" borderId="6" xfId="4" applyFont="1" applyFill="1" applyBorder="1" applyProtection="1">
      <protection hidden="1"/>
    </xf>
    <xf numFmtId="0" fontId="8" fillId="7" borderId="7" xfId="4" applyFont="1" applyFill="1" applyBorder="1" applyProtection="1">
      <protection hidden="1"/>
    </xf>
    <xf numFmtId="0" fontId="8" fillId="7" borderId="10" xfId="4" applyFont="1" applyFill="1" applyBorder="1" applyProtection="1">
      <protection hidden="1"/>
    </xf>
    <xf numFmtId="0" fontId="8" fillId="7" borderId="11" xfId="4" applyFont="1" applyFill="1" applyBorder="1" applyProtection="1">
      <protection hidden="1"/>
    </xf>
    <xf numFmtId="0" fontId="8" fillId="12" borderId="6" xfId="4" applyFont="1" applyFill="1" applyBorder="1" applyProtection="1">
      <protection hidden="1"/>
    </xf>
    <xf numFmtId="0" fontId="8" fillId="12" borderId="7" xfId="4" applyFont="1" applyFill="1" applyBorder="1" applyProtection="1">
      <protection hidden="1"/>
    </xf>
    <xf numFmtId="0" fontId="8" fillId="12" borderId="10" xfId="4" applyFont="1" applyFill="1" applyBorder="1" applyProtection="1">
      <protection hidden="1"/>
    </xf>
    <xf numFmtId="0" fontId="24" fillId="5" borderId="12" xfId="4" applyFont="1" applyFill="1" applyBorder="1" applyAlignment="1" applyProtection="1">
      <alignment horizontal="left" vertical="center" indent="4"/>
      <protection hidden="1"/>
    </xf>
    <xf numFmtId="178" fontId="8" fillId="9" borderId="30" xfId="7" applyNumberFormat="1" applyFont="1" applyFill="1" applyBorder="1" applyAlignment="1" applyProtection="1">
      <alignment vertical="center"/>
      <protection hidden="1"/>
    </xf>
    <xf numFmtId="178" fontId="8" fillId="0" borderId="31" xfId="7" applyNumberFormat="1" applyFont="1" applyFill="1" applyBorder="1" applyAlignment="1" applyProtection="1">
      <alignment vertical="center"/>
      <protection locked="0"/>
    </xf>
    <xf numFmtId="180" fontId="18" fillId="5" borderId="40" xfId="4" applyNumberFormat="1" applyFont="1" applyFill="1" applyBorder="1" applyAlignment="1" applyProtection="1">
      <alignment vertical="center"/>
      <protection hidden="1"/>
    </xf>
    <xf numFmtId="178" fontId="8" fillId="0" borderId="30" xfId="7" applyNumberFormat="1" applyFont="1" applyFill="1" applyBorder="1" applyAlignment="1" applyProtection="1">
      <alignment vertical="center"/>
      <protection locked="0"/>
    </xf>
    <xf numFmtId="180" fontId="9" fillId="5" borderId="30" xfId="4" applyNumberFormat="1" applyFont="1" applyFill="1" applyBorder="1" applyAlignment="1" applyProtection="1">
      <alignment vertical="center"/>
      <protection hidden="1"/>
    </xf>
    <xf numFmtId="180" fontId="9" fillId="5" borderId="33" xfId="4" applyNumberFormat="1" applyFont="1" applyFill="1" applyBorder="1" applyAlignment="1" applyProtection="1">
      <alignment vertical="center"/>
      <protection hidden="1"/>
    </xf>
    <xf numFmtId="172" fontId="8" fillId="5" borderId="10" xfId="7" applyNumberFormat="1" applyFont="1" applyFill="1" applyBorder="1" applyAlignment="1" applyProtection="1">
      <alignment vertical="center"/>
      <protection hidden="1"/>
    </xf>
    <xf numFmtId="172" fontId="8" fillId="5" borderId="7" xfId="7" applyNumberFormat="1" applyFont="1" applyFill="1" applyBorder="1" applyAlignment="1" applyProtection="1">
      <alignment vertical="center"/>
      <protection hidden="1"/>
    </xf>
    <xf numFmtId="180" fontId="8" fillId="7" borderId="39" xfId="4" applyNumberFormat="1" applyFont="1" applyFill="1" applyBorder="1" applyAlignment="1" applyProtection="1">
      <alignment vertical="center"/>
      <protection hidden="1"/>
    </xf>
    <xf numFmtId="180" fontId="8" fillId="7" borderId="31" xfId="4" applyNumberFormat="1" applyFont="1" applyFill="1" applyBorder="1" applyAlignment="1" applyProtection="1">
      <alignment vertical="center"/>
      <protection hidden="1"/>
    </xf>
    <xf numFmtId="176" fontId="8" fillId="7" borderId="39" xfId="4" applyNumberFormat="1" applyFont="1" applyFill="1" applyBorder="1" applyAlignment="1" applyProtection="1">
      <alignment vertical="center"/>
      <protection hidden="1"/>
    </xf>
    <xf numFmtId="176" fontId="8" fillId="7" borderId="31" xfId="4" applyNumberFormat="1" applyFont="1" applyFill="1" applyBorder="1" applyAlignment="1" applyProtection="1">
      <alignment vertical="center"/>
      <protection hidden="1"/>
    </xf>
    <xf numFmtId="180" fontId="8" fillId="12" borderId="39" xfId="4" applyNumberFormat="1" applyFont="1" applyFill="1" applyBorder="1" applyAlignment="1" applyProtection="1">
      <alignment vertical="center"/>
      <protection hidden="1"/>
    </xf>
    <xf numFmtId="180" fontId="8" fillId="12" borderId="31" xfId="4" applyNumberFormat="1" applyFont="1" applyFill="1" applyBorder="1" applyAlignment="1" applyProtection="1">
      <alignment vertical="center"/>
      <protection hidden="1"/>
    </xf>
    <xf numFmtId="176" fontId="8" fillId="12" borderId="31" xfId="4" applyNumberFormat="1" applyFont="1" applyFill="1" applyBorder="1" applyAlignment="1" applyProtection="1">
      <alignment vertical="center"/>
      <protection hidden="1"/>
    </xf>
    <xf numFmtId="0" fontId="9" fillId="5" borderId="18" xfId="4" applyFont="1" applyFill="1" applyBorder="1" applyAlignment="1" applyProtection="1">
      <alignment horizontal="left" vertical="center" indent="3"/>
      <protection hidden="1"/>
    </xf>
    <xf numFmtId="180" fontId="9" fillId="5" borderId="39" xfId="4" applyNumberFormat="1" applyFont="1" applyFill="1" applyBorder="1" applyAlignment="1" applyProtection="1">
      <alignment vertical="center"/>
      <protection hidden="1"/>
    </xf>
    <xf numFmtId="180" fontId="9" fillId="5" borderId="49" xfId="4" applyNumberFormat="1" applyFont="1" applyFill="1" applyBorder="1" applyAlignment="1" applyProtection="1">
      <alignment vertical="center"/>
      <protection hidden="1"/>
    </xf>
    <xf numFmtId="180" fontId="9" fillId="5" borderId="51" xfId="4" applyNumberFormat="1" applyFont="1" applyFill="1" applyBorder="1" applyAlignment="1" applyProtection="1">
      <alignment vertical="center"/>
      <protection hidden="1"/>
    </xf>
    <xf numFmtId="180" fontId="9" fillId="5" borderId="54" xfId="4" applyNumberFormat="1" applyFont="1" applyFill="1" applyBorder="1" applyAlignment="1" applyProtection="1">
      <alignment vertical="center"/>
      <protection hidden="1"/>
    </xf>
    <xf numFmtId="0" fontId="8" fillId="5" borderId="34" xfId="4" applyFont="1" applyFill="1" applyBorder="1" applyProtection="1">
      <protection hidden="1"/>
    </xf>
    <xf numFmtId="0" fontId="8" fillId="5" borderId="13" xfId="4" applyFont="1" applyFill="1" applyBorder="1" applyProtection="1">
      <protection hidden="1"/>
    </xf>
    <xf numFmtId="0" fontId="8" fillId="5" borderId="17" xfId="4" applyFont="1" applyFill="1" applyBorder="1" applyProtection="1">
      <protection hidden="1"/>
    </xf>
    <xf numFmtId="0" fontId="8" fillId="5" borderId="18" xfId="4" applyFont="1" applyFill="1" applyBorder="1" applyProtection="1">
      <protection hidden="1"/>
    </xf>
    <xf numFmtId="180" fontId="9" fillId="7" borderId="49" xfId="4" applyNumberFormat="1" applyFont="1" applyFill="1" applyBorder="1" applyAlignment="1" applyProtection="1">
      <alignment vertical="center"/>
      <protection hidden="1"/>
    </xf>
    <xf numFmtId="176" fontId="9" fillId="7" borderId="34" xfId="4" applyNumberFormat="1" applyFont="1" applyFill="1" applyBorder="1" applyAlignment="1" applyProtection="1">
      <alignment vertical="center"/>
      <protection hidden="1"/>
    </xf>
    <xf numFmtId="176" fontId="9" fillId="7" borderId="13" xfId="4" applyNumberFormat="1" applyFont="1" applyFill="1" applyBorder="1" applyAlignment="1" applyProtection="1">
      <alignment vertical="center"/>
      <protection hidden="1"/>
    </xf>
    <xf numFmtId="180" fontId="9" fillId="12" borderId="49" xfId="4" applyNumberFormat="1" applyFont="1" applyFill="1" applyBorder="1" applyAlignment="1" applyProtection="1">
      <alignment vertical="center"/>
      <protection hidden="1"/>
    </xf>
    <xf numFmtId="176" fontId="9" fillId="12" borderId="13" xfId="4" applyNumberFormat="1" applyFont="1" applyFill="1" applyBorder="1" applyAlignment="1" applyProtection="1">
      <alignment vertical="center"/>
      <protection hidden="1"/>
    </xf>
    <xf numFmtId="0" fontId="8" fillId="7" borderId="8" xfId="4" applyFont="1" applyFill="1" applyBorder="1" applyProtection="1">
      <protection hidden="1"/>
    </xf>
    <xf numFmtId="0" fontId="8" fillId="12" borderId="8" xfId="4" applyFont="1" applyFill="1" applyBorder="1" applyProtection="1">
      <protection hidden="1"/>
    </xf>
    <xf numFmtId="180" fontId="18" fillId="5" borderId="33" xfId="4" applyNumberFormat="1" applyFont="1" applyFill="1" applyBorder="1" applyAlignment="1" applyProtection="1">
      <alignment vertical="center"/>
      <protection hidden="1"/>
    </xf>
    <xf numFmtId="180" fontId="18" fillId="5" borderId="31" xfId="4" applyNumberFormat="1" applyFont="1" applyFill="1" applyBorder="1" applyAlignment="1" applyProtection="1">
      <alignment vertical="center"/>
      <protection hidden="1"/>
    </xf>
    <xf numFmtId="178" fontId="8" fillId="0" borderId="39" xfId="7" applyNumberFormat="1" applyFont="1" applyFill="1" applyBorder="1" applyAlignment="1" applyProtection="1">
      <alignment vertical="center"/>
      <protection locked="0" hidden="1"/>
    </xf>
    <xf numFmtId="178" fontId="8" fillId="0" borderId="31" xfId="7" applyNumberFormat="1" applyFont="1" applyFill="1" applyBorder="1" applyAlignment="1" applyProtection="1">
      <alignment vertical="center"/>
      <protection locked="0" hidden="1"/>
    </xf>
    <xf numFmtId="180" fontId="9" fillId="5" borderId="35" xfId="4" applyNumberFormat="1" applyFont="1" applyFill="1" applyBorder="1" applyAlignment="1" applyProtection="1">
      <alignment vertical="center"/>
      <protection hidden="1"/>
    </xf>
    <xf numFmtId="180" fontId="9" fillId="5" borderId="43" xfId="4" applyNumberFormat="1" applyFont="1" applyFill="1" applyBorder="1" applyAlignment="1" applyProtection="1">
      <alignment vertical="center"/>
      <protection hidden="1"/>
    </xf>
    <xf numFmtId="180" fontId="9" fillId="5" borderId="52" xfId="4" applyNumberFormat="1" applyFont="1" applyFill="1" applyBorder="1" applyAlignment="1" applyProtection="1">
      <alignment vertical="center"/>
      <protection hidden="1"/>
    </xf>
    <xf numFmtId="180" fontId="9" fillId="5" borderId="53" xfId="4" applyNumberFormat="1" applyFont="1" applyFill="1" applyBorder="1" applyAlignment="1" applyProtection="1">
      <alignment vertical="center"/>
      <protection hidden="1"/>
    </xf>
    <xf numFmtId="180" fontId="9" fillId="5" borderId="55" xfId="4" applyNumberFormat="1" applyFont="1" applyFill="1" applyBorder="1" applyAlignment="1" applyProtection="1">
      <alignment vertical="center"/>
      <protection hidden="1"/>
    </xf>
    <xf numFmtId="180" fontId="9" fillId="7" borderId="15" xfId="4" applyNumberFormat="1" applyFont="1" applyFill="1" applyBorder="1" applyAlignment="1" applyProtection="1">
      <alignment vertical="center"/>
      <protection hidden="1"/>
    </xf>
    <xf numFmtId="180" fontId="9" fillId="7" borderId="13" xfId="4" applyNumberFormat="1" applyFont="1" applyFill="1" applyBorder="1" applyAlignment="1" applyProtection="1">
      <alignment vertical="center"/>
      <protection hidden="1"/>
    </xf>
    <xf numFmtId="176" fontId="9" fillId="7" borderId="10" xfId="4" applyNumberFormat="1" applyFont="1" applyFill="1" applyBorder="1" applyAlignment="1" applyProtection="1">
      <alignment vertical="center"/>
      <protection hidden="1"/>
    </xf>
    <xf numFmtId="176" fontId="9" fillId="7" borderId="7" xfId="4" applyNumberFormat="1" applyFont="1" applyFill="1" applyBorder="1" applyAlignment="1" applyProtection="1">
      <alignment vertical="center"/>
      <protection hidden="1"/>
    </xf>
    <xf numFmtId="180" fontId="9" fillId="12" borderId="15" xfId="4" applyNumberFormat="1" applyFont="1" applyFill="1" applyBorder="1" applyAlignment="1" applyProtection="1">
      <alignment vertical="center"/>
      <protection hidden="1"/>
    </xf>
    <xf numFmtId="180" fontId="9" fillId="12" borderId="13" xfId="4" applyNumberFormat="1" applyFont="1" applyFill="1" applyBorder="1" applyAlignment="1" applyProtection="1">
      <alignment vertical="center"/>
      <protection hidden="1"/>
    </xf>
    <xf numFmtId="176" fontId="9" fillId="12" borderId="7" xfId="4" applyNumberFormat="1" applyFont="1" applyFill="1" applyBorder="1" applyAlignment="1" applyProtection="1">
      <alignment vertical="center"/>
      <protection hidden="1"/>
    </xf>
    <xf numFmtId="0" fontId="9" fillId="5" borderId="12" xfId="4" applyFont="1" applyFill="1" applyBorder="1" applyAlignment="1" applyProtection="1">
      <alignment horizontal="left" vertical="center" indent="1"/>
      <protection hidden="1"/>
    </xf>
    <xf numFmtId="172" fontId="8" fillId="5" borderId="41" xfId="7" applyNumberFormat="1" applyFont="1" applyFill="1" applyBorder="1" applyAlignment="1" applyProtection="1">
      <alignment vertical="center"/>
      <protection hidden="1"/>
    </xf>
    <xf numFmtId="172" fontId="8" fillId="5" borderId="6" xfId="7" applyNumberFormat="1" applyFont="1" applyFill="1" applyBorder="1" applyAlignment="1" applyProtection="1">
      <alignment vertical="center"/>
      <protection hidden="1"/>
    </xf>
    <xf numFmtId="0" fontId="20" fillId="5" borderId="12" xfId="4" applyFont="1" applyFill="1" applyBorder="1" applyAlignment="1" applyProtection="1">
      <alignment horizontal="left" vertical="center" indent="4"/>
      <protection hidden="1"/>
    </xf>
    <xf numFmtId="172" fontId="8" fillId="5" borderId="42" xfId="7" applyNumberFormat="1" applyFont="1" applyFill="1" applyBorder="1" applyAlignment="1" applyProtection="1">
      <alignment vertical="center"/>
      <protection hidden="1"/>
    </xf>
    <xf numFmtId="172" fontId="8" fillId="5" borderId="36" xfId="7" applyNumberFormat="1" applyFont="1" applyFill="1" applyBorder="1" applyAlignment="1" applyProtection="1">
      <alignment vertical="center"/>
      <protection hidden="1"/>
    </xf>
    <xf numFmtId="0" fontId="8" fillId="5" borderId="37" xfId="4" applyFont="1" applyFill="1" applyBorder="1" applyProtection="1">
      <protection hidden="1"/>
    </xf>
    <xf numFmtId="0" fontId="8" fillId="5" borderId="38" xfId="4" applyFont="1" applyFill="1" applyBorder="1" applyProtection="1">
      <protection hidden="1"/>
    </xf>
    <xf numFmtId="0" fontId="24" fillId="5" borderId="12" xfId="4" applyFont="1" applyFill="1" applyBorder="1" applyAlignment="1" applyProtection="1">
      <alignment horizontal="left" vertical="center" indent="5"/>
      <protection hidden="1"/>
    </xf>
    <xf numFmtId="178" fontId="8" fillId="0" borderId="39" xfId="7" applyNumberFormat="1" applyFont="1" applyFill="1" applyBorder="1" applyAlignment="1" applyProtection="1">
      <alignment vertical="center"/>
      <protection locked="0"/>
    </xf>
    <xf numFmtId="178" fontId="8" fillId="9" borderId="39" xfId="7" applyNumberFormat="1" applyFont="1" applyFill="1" applyBorder="1" applyAlignment="1" applyProtection="1">
      <alignment vertical="center"/>
      <protection hidden="1"/>
    </xf>
    <xf numFmtId="172" fontId="8" fillId="5" borderId="30" xfId="7" applyNumberFormat="1" applyFont="1" applyFill="1" applyBorder="1" applyAlignment="1" applyProtection="1">
      <alignment vertical="center"/>
      <protection hidden="1"/>
    </xf>
    <xf numFmtId="176" fontId="7" fillId="5" borderId="40" xfId="4" applyNumberFormat="1" applyFont="1" applyFill="1" applyBorder="1" applyAlignment="1" applyProtection="1">
      <alignment horizontal="right" vertical="center" indent="1"/>
      <protection hidden="1"/>
    </xf>
    <xf numFmtId="172" fontId="8" fillId="5" borderId="31" xfId="7" applyNumberFormat="1" applyFont="1" applyFill="1" applyBorder="1" applyAlignment="1" applyProtection="1">
      <alignment vertical="center"/>
      <protection hidden="1"/>
    </xf>
    <xf numFmtId="0" fontId="8" fillId="5" borderId="31" xfId="4" applyFont="1" applyFill="1" applyBorder="1" applyProtection="1">
      <protection hidden="1"/>
    </xf>
    <xf numFmtId="0" fontId="8" fillId="5" borderId="33" xfId="4" applyFont="1" applyFill="1" applyBorder="1" applyProtection="1">
      <protection hidden="1"/>
    </xf>
    <xf numFmtId="172" fontId="8" fillId="5" borderId="39" xfId="7" applyNumberFormat="1" applyFont="1" applyFill="1" applyBorder="1" applyAlignment="1" applyProtection="1">
      <alignment vertical="center"/>
      <protection hidden="1"/>
    </xf>
    <xf numFmtId="0" fontId="8" fillId="5" borderId="35" xfId="4" applyFont="1" applyFill="1" applyBorder="1" applyProtection="1">
      <protection hidden="1"/>
    </xf>
    <xf numFmtId="0" fontId="8" fillId="7" borderId="30" xfId="4" applyFont="1" applyFill="1" applyBorder="1" applyProtection="1">
      <protection hidden="1"/>
    </xf>
    <xf numFmtId="0" fontId="8" fillId="7" borderId="31" xfId="4" applyFont="1" applyFill="1" applyBorder="1" applyProtection="1">
      <protection hidden="1"/>
    </xf>
    <xf numFmtId="0" fontId="8" fillId="7" borderId="33" xfId="4" applyFont="1" applyFill="1" applyBorder="1" applyProtection="1">
      <protection hidden="1"/>
    </xf>
    <xf numFmtId="0" fontId="8" fillId="12" borderId="30" xfId="4" applyFont="1" applyFill="1" applyBorder="1" applyProtection="1">
      <protection hidden="1"/>
    </xf>
    <xf numFmtId="0" fontId="8" fillId="12" borderId="31" xfId="4" applyFont="1" applyFill="1" applyBorder="1" applyProtection="1">
      <protection hidden="1"/>
    </xf>
    <xf numFmtId="172" fontId="8" fillId="5" borderId="30" xfId="7" applyNumberFormat="1" applyFont="1" applyFill="1" applyBorder="1" applyAlignment="1" applyProtection="1">
      <alignment vertical="center"/>
      <protection locked="0"/>
    </xf>
    <xf numFmtId="176" fontId="7" fillId="5" borderId="40" xfId="4" applyNumberFormat="1" applyFont="1" applyFill="1" applyBorder="1" applyAlignment="1" applyProtection="1">
      <alignment horizontal="right" vertical="center" indent="1"/>
      <protection locked="0"/>
    </xf>
    <xf numFmtId="172" fontId="8" fillId="5" borderId="31" xfId="7" applyNumberFormat="1" applyFont="1" applyFill="1" applyBorder="1" applyAlignment="1" applyProtection="1">
      <alignment vertical="center"/>
      <protection locked="0"/>
    </xf>
    <xf numFmtId="0" fontId="8" fillId="5" borderId="31" xfId="4" applyFont="1" applyFill="1" applyBorder="1" applyProtection="1">
      <protection locked="0"/>
    </xf>
    <xf numFmtId="0" fontId="8" fillId="5" borderId="33" xfId="4" applyFont="1" applyFill="1" applyBorder="1" applyProtection="1">
      <protection locked="0"/>
    </xf>
    <xf numFmtId="0" fontId="8" fillId="7" borderId="27" xfId="4" applyFont="1" applyFill="1" applyBorder="1" applyProtection="1">
      <protection hidden="1"/>
    </xf>
    <xf numFmtId="0" fontId="8" fillId="7" borderId="28" xfId="4" applyFont="1" applyFill="1" applyBorder="1" applyProtection="1">
      <protection hidden="1"/>
    </xf>
    <xf numFmtId="0" fontId="8" fillId="12" borderId="27" xfId="4" applyFont="1" applyFill="1" applyBorder="1" applyProtection="1">
      <protection hidden="1"/>
    </xf>
    <xf numFmtId="0" fontId="8" fillId="12" borderId="28" xfId="4" applyFont="1" applyFill="1" applyBorder="1" applyProtection="1">
      <protection hidden="1"/>
    </xf>
    <xf numFmtId="0" fontId="9" fillId="5" borderId="12" xfId="4" applyFont="1" applyFill="1" applyBorder="1" applyAlignment="1" applyProtection="1">
      <alignment horizontal="left" vertical="center" indent="3"/>
      <protection hidden="1"/>
    </xf>
    <xf numFmtId="180" fontId="9" fillId="7" borderId="36" xfId="4" applyNumberFormat="1" applyFont="1" applyFill="1" applyBorder="1" applyAlignment="1" applyProtection="1">
      <alignment vertical="center"/>
      <protection hidden="1"/>
    </xf>
    <xf numFmtId="180" fontId="9" fillId="12" borderId="36" xfId="4" applyNumberFormat="1" applyFont="1" applyFill="1" applyBorder="1" applyAlignment="1" applyProtection="1">
      <alignment vertical="center"/>
      <protection hidden="1"/>
    </xf>
    <xf numFmtId="0" fontId="8" fillId="5" borderId="46" xfId="4" applyNumberFormat="1" applyFont="1" applyFill="1" applyBorder="1" applyAlignment="1" applyProtection="1">
      <protection hidden="1"/>
    </xf>
    <xf numFmtId="0" fontId="8" fillId="5" borderId="20" xfId="4" applyNumberFormat="1" applyFont="1" applyFill="1" applyBorder="1" applyAlignment="1" applyProtection="1">
      <protection hidden="1"/>
    </xf>
    <xf numFmtId="180" fontId="9" fillId="5" borderId="57" xfId="4" applyNumberFormat="1" applyFont="1" applyFill="1" applyBorder="1" applyAlignment="1" applyProtection="1">
      <alignment vertical="center"/>
      <protection hidden="1"/>
    </xf>
    <xf numFmtId="179" fontId="9" fillId="5" borderId="20" xfId="4" applyNumberFormat="1" applyFont="1" applyFill="1" applyBorder="1" applyAlignment="1" applyProtection="1">
      <alignment vertical="center"/>
      <protection hidden="1"/>
    </xf>
    <xf numFmtId="180" fontId="9" fillId="5" borderId="56" xfId="4" applyNumberFormat="1" applyFont="1" applyFill="1" applyBorder="1" applyAlignment="1" applyProtection="1">
      <alignment vertical="center"/>
      <protection hidden="1"/>
    </xf>
    <xf numFmtId="180" fontId="9" fillId="5" borderId="20" xfId="4" applyNumberFormat="1" applyFont="1" applyFill="1" applyBorder="1" applyAlignment="1" applyProtection="1">
      <alignment vertical="center"/>
      <protection hidden="1"/>
    </xf>
    <xf numFmtId="180" fontId="9" fillId="5" borderId="19" xfId="4" applyNumberFormat="1" applyFont="1" applyFill="1" applyBorder="1" applyAlignment="1" applyProtection="1">
      <alignment vertical="center"/>
      <protection hidden="1"/>
    </xf>
    <xf numFmtId="180" fontId="9" fillId="7" borderId="19" xfId="4" applyNumberFormat="1" applyFont="1" applyFill="1" applyBorder="1" applyAlignment="1" applyProtection="1">
      <alignment vertical="center"/>
      <protection hidden="1"/>
    </xf>
    <xf numFmtId="180" fontId="9" fillId="7" borderId="20" xfId="4" applyNumberFormat="1" applyFont="1" applyFill="1" applyBorder="1" applyAlignment="1" applyProtection="1">
      <alignment vertical="center"/>
      <protection hidden="1"/>
    </xf>
    <xf numFmtId="180" fontId="9" fillId="12" borderId="19" xfId="4" applyNumberFormat="1" applyFont="1" applyFill="1" applyBorder="1" applyAlignment="1" applyProtection="1">
      <alignment vertical="center"/>
      <protection hidden="1"/>
    </xf>
    <xf numFmtId="180" fontId="9" fillId="12" borderId="20" xfId="4" applyNumberFormat="1" applyFont="1" applyFill="1" applyBorder="1" applyAlignment="1" applyProtection="1">
      <alignment vertical="center"/>
      <protection hidden="1"/>
    </xf>
    <xf numFmtId="0" fontId="8" fillId="7" borderId="0" xfId="4" applyFont="1" applyFill="1" applyBorder="1" applyProtection="1">
      <protection hidden="1"/>
    </xf>
    <xf numFmtId="0" fontId="8" fillId="5" borderId="0" xfId="4" quotePrefix="1" applyFont="1" applyFill="1" applyBorder="1" applyProtection="1">
      <protection hidden="1"/>
    </xf>
    <xf numFmtId="180" fontId="8" fillId="7" borderId="0" xfId="4" applyNumberFormat="1" applyFont="1" applyFill="1" applyBorder="1" applyAlignment="1" applyProtection="1">
      <protection hidden="1"/>
    </xf>
    <xf numFmtId="180" fontId="8" fillId="12" borderId="0" xfId="4" applyNumberFormat="1" applyFont="1" applyFill="1" applyBorder="1" applyAlignment="1" applyProtection="1">
      <protection hidden="1"/>
    </xf>
    <xf numFmtId="180" fontId="8" fillId="7" borderId="0" xfId="4" applyNumberFormat="1" applyFont="1" applyFill="1" applyBorder="1" applyProtection="1">
      <protection hidden="1"/>
    </xf>
    <xf numFmtId="0" fontId="25" fillId="5" borderId="12" xfId="4" applyFont="1" applyFill="1" applyBorder="1" applyAlignment="1" applyProtection="1">
      <alignment horizontal="left" vertical="center" indent="4"/>
      <protection hidden="1"/>
    </xf>
    <xf numFmtId="0" fontId="9" fillId="5" borderId="8" xfId="4" applyFont="1" applyFill="1" applyBorder="1" applyAlignment="1" applyProtection="1">
      <alignment horizontal="center" vertical="top"/>
      <protection hidden="1"/>
    </xf>
    <xf numFmtId="178" fontId="8" fillId="9" borderId="31" xfId="7" applyNumberFormat="1" applyFont="1" applyFill="1" applyBorder="1" applyAlignment="1" applyProtection="1">
      <alignment vertical="center"/>
      <protection hidden="1"/>
    </xf>
    <xf numFmtId="180" fontId="18" fillId="9" borderId="35" xfId="4" applyNumberFormat="1" applyFont="1" applyFill="1" applyBorder="1" applyAlignment="1" applyProtection="1">
      <alignment vertical="center"/>
      <protection hidden="1"/>
    </xf>
    <xf numFmtId="0" fontId="9" fillId="3" borderId="7" xfId="0" applyFont="1" applyFill="1" applyBorder="1" applyAlignment="1" applyProtection="1">
      <alignment horizontal="center" vertical="top"/>
      <protection hidden="1"/>
    </xf>
    <xf numFmtId="0" fontId="9" fillId="3" borderId="0" xfId="0" applyFont="1" applyFill="1" applyBorder="1" applyAlignment="1" applyProtection="1">
      <alignment horizontal="center" vertical="top"/>
      <protection hidden="1"/>
    </xf>
    <xf numFmtId="0" fontId="9" fillId="3" borderId="11" xfId="0" applyFont="1" applyFill="1" applyBorder="1" applyAlignment="1" applyProtection="1">
      <alignment horizontal="center" vertical="top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180" fontId="18" fillId="2" borderId="35" xfId="0" applyNumberFormat="1" applyFont="1" applyFill="1" applyBorder="1" applyAlignment="1" applyProtection="1">
      <alignment vertical="center"/>
      <protection hidden="1"/>
    </xf>
    <xf numFmtId="180" fontId="18" fillId="2" borderId="45" xfId="0" applyNumberFormat="1" applyFont="1" applyFill="1" applyBorder="1" applyAlignment="1" applyProtection="1">
      <alignment vertical="center"/>
      <protection hidden="1"/>
    </xf>
    <xf numFmtId="180" fontId="18" fillId="2" borderId="53" xfId="0" applyNumberFormat="1" applyFont="1" applyFill="1" applyBorder="1" applyAlignment="1" applyProtection="1">
      <alignment vertical="center"/>
      <protection hidden="1"/>
    </xf>
    <xf numFmtId="169" fontId="8" fillId="3" borderId="11" xfId="0" applyNumberFormat="1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top" wrapText="1"/>
      <protection hidden="1"/>
    </xf>
    <xf numFmtId="0" fontId="9" fillId="9" borderId="0" xfId="0" applyFont="1" applyFill="1" applyBorder="1" applyAlignment="1" applyProtection="1">
      <alignment vertical="top" wrapText="1"/>
      <protection hidden="1"/>
    </xf>
    <xf numFmtId="0" fontId="8" fillId="9" borderId="0" xfId="0" applyFont="1" applyFill="1" applyBorder="1" applyProtection="1">
      <protection hidden="1"/>
    </xf>
    <xf numFmtId="168" fontId="7" fillId="9" borderId="23" xfId="0" applyNumberFormat="1" applyFont="1" applyFill="1" applyBorder="1" applyAlignment="1" applyProtection="1">
      <alignment horizontal="left" vertical="center"/>
      <protection hidden="1"/>
    </xf>
    <xf numFmtId="170" fontId="8" fillId="9" borderId="22" xfId="0" applyNumberFormat="1" applyFont="1" applyFill="1" applyBorder="1" applyAlignment="1" applyProtection="1">
      <alignment horizontal="left" vertical="center"/>
      <protection hidden="1"/>
    </xf>
    <xf numFmtId="180" fontId="9" fillId="2" borderId="13" xfId="0" applyNumberFormat="1" applyFont="1" applyFill="1" applyBorder="1" applyAlignment="1" applyProtection="1">
      <alignment vertical="center"/>
      <protection hidden="1"/>
    </xf>
    <xf numFmtId="0" fontId="8" fillId="9" borderId="0" xfId="0" applyFont="1" applyFill="1" applyProtection="1">
      <protection hidden="1"/>
    </xf>
    <xf numFmtId="0" fontId="8" fillId="5" borderId="0" xfId="0" applyFont="1" applyFill="1" applyBorder="1" applyProtection="1">
      <protection hidden="1"/>
    </xf>
    <xf numFmtId="0" fontId="16" fillId="9" borderId="9" xfId="0" quotePrefix="1" applyFont="1" applyFill="1" applyBorder="1" applyAlignment="1" applyProtection="1">
      <alignment horizontal="center" vertical="center"/>
      <protection hidden="1"/>
    </xf>
    <xf numFmtId="180" fontId="9" fillId="2" borderId="16" xfId="0" applyNumberFormat="1" applyFont="1" applyFill="1" applyBorder="1" applyAlignment="1" applyProtection="1">
      <alignment vertical="center"/>
      <protection hidden="1"/>
    </xf>
    <xf numFmtId="180" fontId="9" fillId="9" borderId="20" xfId="0" applyNumberFormat="1" applyFont="1" applyFill="1" applyBorder="1" applyAlignment="1" applyProtection="1">
      <alignment vertical="center"/>
      <protection hidden="1"/>
    </xf>
    <xf numFmtId="180" fontId="9" fillId="9" borderId="48" xfId="0" applyNumberFormat="1" applyFont="1" applyFill="1" applyBorder="1" applyAlignment="1" applyProtection="1">
      <alignment vertical="center"/>
      <protection hidden="1"/>
    </xf>
    <xf numFmtId="178" fontId="8" fillId="0" borderId="65" xfId="0" applyNumberFormat="1" applyFont="1" applyFill="1" applyBorder="1" applyAlignment="1" applyProtection="1">
      <alignment vertical="center"/>
      <protection locked="0"/>
    </xf>
    <xf numFmtId="0" fontId="9" fillId="9" borderId="6" xfId="0" applyFont="1" applyFill="1" applyBorder="1" applyAlignment="1" applyProtection="1">
      <alignment vertical="top" wrapText="1"/>
      <protection hidden="1"/>
    </xf>
    <xf numFmtId="0" fontId="8" fillId="9" borderId="6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 vertical="center" indent="1"/>
      <protection hidden="1"/>
    </xf>
    <xf numFmtId="169" fontId="8" fillId="3" borderId="0" xfId="0" applyNumberFormat="1" applyFont="1" applyFill="1" applyBorder="1" applyProtection="1">
      <protection hidden="1"/>
    </xf>
    <xf numFmtId="183" fontId="8" fillId="3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77" xfId="0" applyFont="1" applyFill="1" applyBorder="1" applyAlignment="1" applyProtection="1">
      <alignment horizontal="center" vertical="center" wrapText="1"/>
      <protection hidden="1"/>
    </xf>
    <xf numFmtId="0" fontId="9" fillId="2" borderId="81" xfId="0" applyFont="1" applyFill="1" applyBorder="1" applyAlignment="1" applyProtection="1">
      <alignment horizontal="center" vertical="center" wrapText="1"/>
      <protection hidden="1"/>
    </xf>
    <xf numFmtId="0" fontId="9" fillId="2" borderId="72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protection hidden="1"/>
    </xf>
    <xf numFmtId="0" fontId="8" fillId="2" borderId="11" xfId="0" applyFont="1" applyFill="1" applyBorder="1" applyAlignment="1" applyProtection="1">
      <protection hidden="1"/>
    </xf>
    <xf numFmtId="0" fontId="8" fillId="2" borderId="35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Protection="1"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169" fontId="8" fillId="2" borderId="6" xfId="0" applyNumberFormat="1" applyFont="1" applyFill="1" applyBorder="1" applyAlignment="1" applyProtection="1">
      <alignment horizontal="center"/>
      <protection hidden="1"/>
    </xf>
    <xf numFmtId="169" fontId="8" fillId="2" borderId="6" xfId="0" applyNumberFormat="1" applyFont="1" applyFill="1" applyBorder="1" applyAlignment="1" applyProtection="1">
      <alignment vertical="center"/>
      <protection hidden="1"/>
    </xf>
    <xf numFmtId="169" fontId="8" fillId="2" borderId="27" xfId="0" applyNumberFormat="1" applyFont="1" applyFill="1" applyBorder="1" applyAlignment="1" applyProtection="1">
      <alignment vertical="center"/>
      <protection hidden="1"/>
    </xf>
    <xf numFmtId="0" fontId="8" fillId="2" borderId="37" xfId="0" applyFont="1" applyFill="1" applyBorder="1" applyProtection="1"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2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8" xfId="0" applyNumberFormat="1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protection hidden="1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2" borderId="29" xfId="0" applyFont="1" applyFill="1" applyBorder="1" applyAlignment="1" applyProtection="1">
      <alignment horizontal="center" vertical="center" wrapText="1"/>
      <protection hidden="1"/>
    </xf>
    <xf numFmtId="183" fontId="8" fillId="3" borderId="17" xfId="0" applyNumberFormat="1" applyFont="1" applyFill="1" applyBorder="1" applyAlignment="1" applyProtection="1">
      <alignment horizontal="center" vertical="center"/>
      <protection hidden="1"/>
    </xf>
    <xf numFmtId="180" fontId="8" fillId="7" borderId="36" xfId="4" applyNumberFormat="1" applyFont="1" applyFill="1" applyBorder="1" applyAlignment="1" applyProtection="1">
      <alignment vertical="center"/>
      <protection hidden="1"/>
    </xf>
    <xf numFmtId="180" fontId="8" fillId="7" borderId="28" xfId="4" applyNumberFormat="1" applyFont="1" applyFill="1" applyBorder="1" applyAlignment="1" applyProtection="1">
      <alignment vertical="center"/>
      <protection hidden="1"/>
    </xf>
    <xf numFmtId="176" fontId="8" fillId="7" borderId="36" xfId="4" applyNumberFormat="1" applyFont="1" applyFill="1" applyBorder="1" applyAlignment="1" applyProtection="1">
      <alignment vertical="center"/>
      <protection hidden="1"/>
    </xf>
    <xf numFmtId="176" fontId="8" fillId="7" borderId="28" xfId="4" applyNumberFormat="1" applyFont="1" applyFill="1" applyBorder="1" applyAlignment="1" applyProtection="1">
      <alignment vertical="center"/>
      <protection hidden="1"/>
    </xf>
    <xf numFmtId="180" fontId="9" fillId="12" borderId="16" xfId="4" applyNumberFormat="1" applyFont="1" applyFill="1" applyBorder="1" applyAlignment="1" applyProtection="1">
      <alignment vertical="center"/>
      <protection hidden="1"/>
    </xf>
    <xf numFmtId="180" fontId="8" fillId="12" borderId="30" xfId="4" applyNumberFormat="1" applyFont="1" applyFill="1" applyBorder="1" applyAlignment="1" applyProtection="1">
      <alignment vertical="center"/>
      <protection hidden="1"/>
    </xf>
    <xf numFmtId="176" fontId="8" fillId="12" borderId="33" xfId="4" applyNumberFormat="1" applyFont="1" applyFill="1" applyBorder="1" applyAlignment="1" applyProtection="1">
      <alignment vertical="center"/>
      <protection hidden="1"/>
    </xf>
    <xf numFmtId="176" fontId="9" fillId="12" borderId="64" xfId="4" applyNumberFormat="1" applyFont="1" applyFill="1" applyBorder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top" wrapText="1"/>
      <protection hidden="1"/>
    </xf>
    <xf numFmtId="0" fontId="9" fillId="2" borderId="13" xfId="0" applyFont="1" applyFill="1" applyBorder="1" applyAlignment="1" applyProtection="1">
      <alignment horizontal="center" vertical="top" wrapText="1"/>
      <protection hidden="1"/>
    </xf>
    <xf numFmtId="0" fontId="9" fillId="0" borderId="7" xfId="5" applyNumberFormat="1" applyFont="1" applyFill="1" applyBorder="1" applyAlignment="1" applyProtection="1">
      <alignment horizontal="center" vertical="top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protection hidden="1"/>
    </xf>
    <xf numFmtId="172" fontId="9" fillId="5" borderId="0" xfId="0" applyNumberFormat="1" applyFont="1" applyFill="1" applyBorder="1" applyAlignment="1" applyProtection="1"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8" fillId="5" borderId="64" xfId="0" applyFont="1" applyFill="1" applyBorder="1" applyAlignment="1" applyProtection="1">
      <alignment vertical="center"/>
      <protection hidden="1"/>
    </xf>
    <xf numFmtId="172" fontId="9" fillId="5" borderId="22" xfId="0" applyNumberFormat="1" applyFont="1" applyFill="1" applyBorder="1" applyAlignment="1" applyProtection="1">
      <alignment horizontal="center" vertical="top" wrapText="1"/>
      <protection hidden="1"/>
    </xf>
    <xf numFmtId="172" fontId="9" fillId="5" borderId="25" xfId="0" applyNumberFormat="1" applyFont="1" applyFill="1" applyBorder="1" applyAlignment="1" applyProtection="1">
      <alignment horizontal="center" vertical="top" wrapText="1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  <xf numFmtId="172" fontId="9" fillId="5" borderId="7" xfId="0" applyNumberFormat="1" applyFont="1" applyFill="1" applyBorder="1" applyAlignment="1" applyProtection="1">
      <alignment horizontal="center" vertical="center"/>
      <protection hidden="1"/>
    </xf>
    <xf numFmtId="172" fontId="9" fillId="5" borderId="8" xfId="0" applyNumberFormat="1" applyFon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left" vertical="center" wrapText="1" indent="2"/>
      <protection hidden="1"/>
    </xf>
    <xf numFmtId="165" fontId="20" fillId="5" borderId="10" xfId="0" applyNumberFormat="1" applyFont="1" applyFill="1" applyBorder="1" applyAlignment="1" applyProtection="1">
      <alignment horizontal="left" vertical="center" indent="1"/>
      <protection hidden="1"/>
    </xf>
    <xf numFmtId="172" fontId="8" fillId="5" borderId="68" xfId="0" quotePrefix="1" applyNumberFormat="1" applyFont="1" applyFill="1" applyBorder="1" applyAlignment="1" applyProtection="1">
      <alignment horizontal="center" vertical="center"/>
      <protection hidden="1"/>
    </xf>
    <xf numFmtId="172" fontId="8" fillId="5" borderId="7" xfId="0" quotePrefix="1" applyNumberFormat="1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protection hidden="1"/>
    </xf>
    <xf numFmtId="0" fontId="9" fillId="5" borderId="10" xfId="0" applyFont="1" applyFill="1" applyBorder="1" applyAlignment="1" applyProtection="1">
      <alignment horizontal="left" vertical="center" indent="2"/>
      <protection hidden="1"/>
    </xf>
    <xf numFmtId="176" fontId="18" fillId="5" borderId="31" xfId="0" applyNumberFormat="1" applyFont="1" applyFill="1" applyBorder="1" applyAlignment="1" applyProtection="1">
      <alignment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 applyProtection="1">
      <alignment horizontal="left" vertical="center" indent="2"/>
      <protection hidden="1"/>
    </xf>
    <xf numFmtId="0" fontId="20" fillId="5" borderId="10" xfId="0" applyFont="1" applyFill="1" applyBorder="1" applyAlignment="1" applyProtection="1">
      <alignment horizontal="left" vertical="center" indent="1"/>
      <protection hidden="1"/>
    </xf>
    <xf numFmtId="172" fontId="8" fillId="5" borderId="68" xfId="0" applyNumberFormat="1" applyFont="1" applyFill="1" applyBorder="1" applyAlignment="1" applyProtection="1">
      <alignment vertical="center"/>
      <protection hidden="1"/>
    </xf>
    <xf numFmtId="172" fontId="8" fillId="5" borderId="67" xfId="0" applyNumberFormat="1" applyFont="1" applyFill="1" applyBorder="1" applyAlignment="1" applyProtection="1">
      <alignment vertical="center"/>
      <protection hidden="1"/>
    </xf>
    <xf numFmtId="172" fontId="8" fillId="5" borderId="7" xfId="0" applyNumberFormat="1" applyFont="1" applyFill="1" applyBorder="1" applyAlignment="1" applyProtection="1">
      <alignment vertical="center"/>
      <protection hidden="1"/>
    </xf>
    <xf numFmtId="172" fontId="7" fillId="5" borderId="68" xfId="0" applyNumberFormat="1" applyFont="1" applyFill="1" applyBorder="1" applyAlignment="1" applyProtection="1">
      <alignment vertical="center"/>
      <protection hidden="1"/>
    </xf>
    <xf numFmtId="176" fontId="7" fillId="5" borderId="7" xfId="0" applyNumberFormat="1" applyFont="1" applyFill="1" applyBorder="1" applyAlignment="1" applyProtection="1">
      <alignment vertical="center"/>
      <protection hidden="1"/>
    </xf>
    <xf numFmtId="176" fontId="18" fillId="5" borderId="49" xfId="0" applyNumberFormat="1" applyFont="1" applyFill="1" applyBorder="1" applyAlignment="1" applyProtection="1">
      <alignment vertical="center"/>
      <protection hidden="1"/>
    </xf>
    <xf numFmtId="0" fontId="9" fillId="5" borderId="51" xfId="0" applyFont="1" applyFill="1" applyBorder="1" applyAlignment="1" applyProtection="1">
      <alignment horizontal="center" vertical="center"/>
      <protection hidden="1"/>
    </xf>
    <xf numFmtId="172" fontId="8" fillId="5" borderId="0" xfId="0" applyNumberFormat="1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Protection="1">
      <protection hidden="1"/>
    </xf>
    <xf numFmtId="0" fontId="8" fillId="5" borderId="10" xfId="0" applyFont="1" applyFill="1" applyBorder="1" applyAlignment="1" applyProtection="1">
      <alignment horizontal="left" vertical="center" wrapText="1" indent="2"/>
      <protection hidden="1"/>
    </xf>
    <xf numFmtId="0" fontId="9" fillId="5" borderId="63" xfId="0" applyFont="1" applyFill="1" applyBorder="1" applyAlignment="1" applyProtection="1">
      <alignment horizontal="left" vertical="center" wrapText="1" indent="1"/>
      <protection hidden="1"/>
    </xf>
    <xf numFmtId="176" fontId="9" fillId="5" borderId="49" xfId="0" applyNumberFormat="1" applyFont="1" applyFill="1" applyBorder="1" applyAlignment="1" applyProtection="1">
      <alignment vertical="center"/>
      <protection hidden="1"/>
    </xf>
    <xf numFmtId="0" fontId="8" fillId="5" borderId="64" xfId="0" applyFont="1" applyFill="1" applyBorder="1" applyAlignment="1" applyProtection="1">
      <protection hidden="1"/>
    </xf>
    <xf numFmtId="0" fontId="20" fillId="5" borderId="24" xfId="0" applyFont="1" applyFill="1" applyBorder="1" applyAlignment="1" applyProtection="1">
      <alignment horizontal="left" vertical="center" wrapText="1" indent="2"/>
      <protection hidden="1"/>
    </xf>
    <xf numFmtId="172" fontId="9" fillId="5" borderId="41" xfId="0" applyNumberFormat="1" applyFont="1" applyFill="1" applyBorder="1" applyAlignment="1" applyProtection="1">
      <alignment horizontal="center" vertical="top" wrapText="1"/>
      <protection hidden="1"/>
    </xf>
    <xf numFmtId="0" fontId="8" fillId="5" borderId="6" xfId="0" applyFont="1" applyFill="1" applyBorder="1" applyAlignment="1" applyProtection="1">
      <alignment horizontal="left"/>
      <protection hidden="1"/>
    </xf>
    <xf numFmtId="0" fontId="8" fillId="5" borderId="27" xfId="0" applyFont="1" applyFill="1" applyBorder="1" applyAlignment="1" applyProtection="1">
      <alignment horizontal="left" wrapText="1" indent="2"/>
      <protection hidden="1"/>
    </xf>
    <xf numFmtId="165" fontId="20" fillId="5" borderId="6" xfId="0" applyNumberFormat="1" applyFont="1" applyFill="1" applyBorder="1" applyAlignment="1" applyProtection="1">
      <alignment horizontal="left" vertical="center" indent="1"/>
      <protection hidden="1"/>
    </xf>
    <xf numFmtId="175" fontId="9" fillId="5" borderId="7" xfId="0" applyNumberFormat="1" applyFont="1" applyFill="1" applyBorder="1" applyAlignment="1" applyProtection="1">
      <alignment vertical="center"/>
      <protection hidden="1"/>
    </xf>
    <xf numFmtId="176" fontId="9" fillId="5" borderId="7" xfId="0" applyNumberFormat="1" applyFont="1" applyFill="1" applyBorder="1" applyAlignment="1" applyProtection="1">
      <alignment vertical="center"/>
      <protection hidden="1"/>
    </xf>
    <xf numFmtId="0" fontId="24" fillId="5" borderId="6" xfId="0" applyFont="1" applyFill="1" applyBorder="1" applyAlignment="1" applyProtection="1">
      <alignment horizontal="left" vertical="center" indent="2"/>
      <protection hidden="1"/>
    </xf>
    <xf numFmtId="175" fontId="9" fillId="5" borderId="5" xfId="0" applyNumberFormat="1" applyFont="1" applyFill="1" applyBorder="1" applyAlignment="1" applyProtection="1">
      <alignment vertical="center"/>
      <protection hidden="1"/>
    </xf>
    <xf numFmtId="0" fontId="9" fillId="5" borderId="6" xfId="0" applyFont="1" applyFill="1" applyBorder="1" applyAlignment="1" applyProtection="1">
      <alignment horizontal="left" vertical="center" indent="3"/>
      <protection hidden="1"/>
    </xf>
    <xf numFmtId="176" fontId="9" fillId="5" borderId="31" xfId="0" applyNumberFormat="1" applyFont="1" applyFill="1" applyBorder="1" applyAlignment="1" applyProtection="1">
      <alignment vertical="center"/>
      <protection hidden="1"/>
    </xf>
    <xf numFmtId="172" fontId="9" fillId="5" borderId="33" xfId="0" applyNumberFormat="1" applyFont="1" applyFill="1" applyBorder="1" applyAlignment="1" applyProtection="1">
      <alignment horizontal="center" vertical="center"/>
      <protection hidden="1"/>
    </xf>
    <xf numFmtId="0" fontId="8" fillId="5" borderId="40" xfId="0" applyFont="1" applyFill="1" applyBorder="1" applyProtection="1">
      <protection hidden="1"/>
    </xf>
    <xf numFmtId="0" fontId="19" fillId="5" borderId="31" xfId="0" applyFont="1" applyFill="1" applyBorder="1" applyAlignment="1" applyProtection="1">
      <protection hidden="1"/>
    </xf>
    <xf numFmtId="0" fontId="19" fillId="5" borderId="33" xfId="0" applyFont="1" applyFill="1" applyBorder="1" applyAlignment="1" applyProtection="1">
      <protection hidden="1"/>
    </xf>
    <xf numFmtId="0" fontId="24" fillId="5" borderId="6" xfId="0" applyFont="1" applyFill="1" applyBorder="1" applyAlignment="1" applyProtection="1">
      <alignment horizontal="left" vertical="center" wrapText="1" indent="2"/>
      <protection hidden="1"/>
    </xf>
    <xf numFmtId="0" fontId="8" fillId="5" borderId="31" xfId="0" applyFont="1" applyFill="1" applyBorder="1" applyAlignment="1" applyProtection="1">
      <alignment vertical="center"/>
      <protection hidden="1"/>
    </xf>
    <xf numFmtId="0" fontId="8" fillId="5" borderId="33" xfId="0" applyFont="1" applyFill="1" applyBorder="1" applyAlignment="1" applyProtection="1">
      <alignment vertical="center"/>
      <protection hidden="1"/>
    </xf>
    <xf numFmtId="180" fontId="8" fillId="5" borderId="70" xfId="0" applyNumberFormat="1" applyFont="1" applyFill="1" applyBorder="1" applyAlignment="1" applyProtection="1">
      <alignment vertical="center"/>
      <protection hidden="1"/>
    </xf>
    <xf numFmtId="0" fontId="8" fillId="5" borderId="5" xfId="0" applyFont="1" applyFill="1" applyBorder="1" applyAlignment="1" applyProtection="1">
      <alignment vertical="center"/>
      <protection hidden="1"/>
    </xf>
    <xf numFmtId="0" fontId="8" fillId="5" borderId="4" xfId="0" applyFont="1" applyFill="1" applyBorder="1" applyAlignment="1" applyProtection="1">
      <alignment vertical="center"/>
      <protection hidden="1"/>
    </xf>
    <xf numFmtId="0" fontId="9" fillId="5" borderId="6" xfId="0" applyFont="1" applyFill="1" applyBorder="1" applyAlignment="1" applyProtection="1">
      <alignment horizontal="left" vertical="center" wrapText="1" indent="3"/>
      <protection hidden="1"/>
    </xf>
    <xf numFmtId="165" fontId="20" fillId="5" borderId="72" xfId="0" applyNumberFormat="1" applyFont="1" applyFill="1" applyBorder="1" applyAlignment="1" applyProtection="1">
      <alignment horizontal="left" vertical="center" indent="1"/>
      <protection hidden="1"/>
    </xf>
    <xf numFmtId="0" fontId="9" fillId="5" borderId="15" xfId="0" applyFont="1" applyFill="1" applyBorder="1" applyAlignment="1" applyProtection="1">
      <alignment horizontal="left" vertical="center" indent="2"/>
      <protection hidden="1"/>
    </xf>
    <xf numFmtId="172" fontId="9" fillId="5" borderId="5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172" fontId="8" fillId="0" borderId="0" xfId="0" applyNumberFormat="1" applyFont="1" applyFill="1" applyProtection="1">
      <protection hidden="1"/>
    </xf>
    <xf numFmtId="166" fontId="8" fillId="0" borderId="0" xfId="0" applyNumberFormat="1" applyFont="1" applyFill="1" applyProtection="1">
      <protection hidden="1"/>
    </xf>
    <xf numFmtId="173" fontId="8" fillId="0" borderId="0" xfId="0" applyNumberFormat="1" applyFont="1" applyFill="1" applyProtection="1">
      <protection hidden="1"/>
    </xf>
    <xf numFmtId="176" fontId="18" fillId="5" borderId="5" xfId="0" applyNumberFormat="1" applyFont="1" applyFill="1" applyBorder="1" applyAlignment="1" applyProtection="1">
      <alignment vertic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172" fontId="7" fillId="5" borderId="7" xfId="0" applyNumberFormat="1" applyFont="1" applyFill="1" applyBorder="1" applyAlignment="1" applyProtection="1">
      <alignment vertical="center"/>
      <protection hidden="1"/>
    </xf>
    <xf numFmtId="175" fontId="9" fillId="5" borderId="69" xfId="0" applyNumberFormat="1" applyFont="1" applyFill="1" applyBorder="1" applyAlignment="1" applyProtection="1">
      <alignment vertical="center"/>
      <protection hidden="1"/>
    </xf>
    <xf numFmtId="175" fontId="9" fillId="5" borderId="76" xfId="0" applyNumberFormat="1" applyFont="1" applyFill="1" applyBorder="1" applyAlignment="1" applyProtection="1">
      <alignment vertical="center"/>
      <protection hidden="1"/>
    </xf>
    <xf numFmtId="175" fontId="18" fillId="5" borderId="69" xfId="0" applyNumberFormat="1" applyFont="1" applyFill="1" applyBorder="1" applyAlignment="1" applyProtection="1">
      <alignment vertical="center"/>
      <protection hidden="1"/>
    </xf>
    <xf numFmtId="175" fontId="9" fillId="5" borderId="70" xfId="0" applyNumberFormat="1" applyFont="1" applyFill="1" applyBorder="1" applyAlignment="1" applyProtection="1">
      <alignment vertical="center"/>
      <protection hidden="1"/>
    </xf>
    <xf numFmtId="175" fontId="18" fillId="5" borderId="70" xfId="0" applyNumberFormat="1" applyFont="1" applyFill="1" applyBorder="1" applyAlignment="1" applyProtection="1">
      <alignment vertical="center"/>
      <protection hidden="1"/>
    </xf>
    <xf numFmtId="164" fontId="9" fillId="9" borderId="34" xfId="0" applyNumberFormat="1" applyFont="1" applyFill="1" applyBorder="1" applyAlignment="1" applyProtection="1">
      <alignment horizontal="left" vertical="center" indent="2"/>
      <protection hidden="1"/>
    </xf>
    <xf numFmtId="175" fontId="18" fillId="5" borderId="5" xfId="0" applyNumberFormat="1" applyFont="1" applyFill="1" applyBorder="1" applyAlignment="1" applyProtection="1">
      <alignment vertical="center"/>
      <protection hidden="1"/>
    </xf>
    <xf numFmtId="0" fontId="9" fillId="9" borderId="10" xfId="0" applyNumberFormat="1" applyFont="1" applyFill="1" applyBorder="1" applyAlignment="1" applyProtection="1">
      <alignment vertical="center"/>
      <protection hidden="1"/>
    </xf>
    <xf numFmtId="175" fontId="9" fillId="5" borderId="71" xfId="0" applyNumberFormat="1" applyFont="1" applyFill="1" applyBorder="1" applyAlignment="1" applyProtection="1">
      <alignment vertical="center"/>
      <protection hidden="1"/>
    </xf>
    <xf numFmtId="175" fontId="9" fillId="5" borderId="49" xfId="0" applyNumberFormat="1" applyFont="1" applyFill="1" applyBorder="1" applyAlignment="1" applyProtection="1">
      <alignment vertical="center"/>
      <protection hidden="1"/>
    </xf>
    <xf numFmtId="175" fontId="18" fillId="5" borderId="49" xfId="0" applyNumberFormat="1" applyFont="1" applyFill="1" applyBorder="1" applyAlignment="1" applyProtection="1">
      <alignment vertical="center"/>
      <protection hidden="1"/>
    </xf>
    <xf numFmtId="0" fontId="8" fillId="5" borderId="61" xfId="0" applyNumberFormat="1" applyFont="1" applyFill="1" applyBorder="1" applyAlignment="1" applyProtection="1">
      <alignment vertical="center"/>
      <protection hidden="1"/>
    </xf>
    <xf numFmtId="0" fontId="8" fillId="5" borderId="62" xfId="0" applyFont="1" applyFill="1" applyBorder="1" applyProtection="1">
      <protection hidden="1"/>
    </xf>
    <xf numFmtId="175" fontId="9" fillId="5" borderId="28" xfId="0" applyNumberFormat="1" applyFont="1" applyFill="1" applyBorder="1" applyAlignment="1" applyProtection="1">
      <alignment vertical="center"/>
      <protection hidden="1"/>
    </xf>
    <xf numFmtId="176" fontId="9" fillId="5" borderId="28" xfId="0" applyNumberFormat="1" applyFont="1" applyFill="1" applyBorder="1" applyAlignment="1" applyProtection="1">
      <alignment vertical="center"/>
      <protection hidden="1"/>
    </xf>
    <xf numFmtId="172" fontId="9" fillId="5" borderId="29" xfId="0" applyNumberFormat="1" applyFont="1" applyFill="1" applyBorder="1" applyAlignment="1" applyProtection="1">
      <alignment horizontal="center" vertical="center"/>
      <protection hidden="1"/>
    </xf>
    <xf numFmtId="175" fontId="9" fillId="5" borderId="31" xfId="0" applyNumberFormat="1" applyFont="1" applyFill="1" applyBorder="1" applyAlignment="1" applyProtection="1">
      <alignment vertical="center"/>
      <protection hidden="1"/>
    </xf>
    <xf numFmtId="0" fontId="16" fillId="5" borderId="2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8" fillId="9" borderId="23" xfId="0" applyFont="1" applyFill="1" applyBorder="1" applyAlignment="1" applyProtection="1">
      <alignment horizontal="center" vertical="center"/>
      <protection hidden="1"/>
    </xf>
    <xf numFmtId="0" fontId="8" fillId="9" borderId="5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Continuous" vertical="center"/>
      <protection hidden="1"/>
    </xf>
    <xf numFmtId="0" fontId="9" fillId="9" borderId="2" xfId="0" applyFont="1" applyFill="1" applyBorder="1" applyAlignment="1" applyProtection="1">
      <alignment vertical="top" wrapText="1"/>
      <protection hidden="1"/>
    </xf>
    <xf numFmtId="0" fontId="8" fillId="5" borderId="3" xfId="0" applyNumberFormat="1" applyFont="1" applyFill="1" applyBorder="1" applyAlignment="1" applyProtection="1">
      <protection hidden="1"/>
    </xf>
    <xf numFmtId="0" fontId="8" fillId="5" borderId="65" xfId="0" applyNumberFormat="1" applyFont="1" applyFill="1" applyBorder="1" applyAlignment="1" applyProtection="1">
      <protection hidden="1"/>
    </xf>
    <xf numFmtId="0" fontId="8" fillId="5" borderId="45" xfId="0" applyNumberFormat="1" applyFont="1" applyFill="1" applyBorder="1" applyAlignment="1" applyProtection="1">
      <protection hidden="1"/>
    </xf>
    <xf numFmtId="0" fontId="8" fillId="2" borderId="31" xfId="0" applyFont="1" applyFill="1" applyBorder="1" applyAlignment="1" applyProtection="1">
      <protection hidden="1"/>
    </xf>
    <xf numFmtId="2" fontId="8" fillId="2" borderId="31" xfId="0" applyNumberFormat="1" applyFont="1" applyFill="1" applyBorder="1" applyAlignment="1" applyProtection="1">
      <protection hidden="1"/>
    </xf>
    <xf numFmtId="2" fontId="8" fillId="2" borderId="35" xfId="0" applyNumberFormat="1" applyFont="1" applyFill="1" applyBorder="1" applyAlignment="1" applyProtection="1">
      <protection hidden="1"/>
    </xf>
    <xf numFmtId="179" fontId="8" fillId="2" borderId="31" xfId="0" applyNumberFormat="1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2" fontId="8" fillId="2" borderId="5" xfId="0" applyNumberFormat="1" applyFont="1" applyFill="1" applyBorder="1" applyAlignment="1" applyProtection="1">
      <alignment horizontal="center"/>
      <protection hidden="1"/>
    </xf>
    <xf numFmtId="2" fontId="8" fillId="2" borderId="45" xfId="0" applyNumberFormat="1" applyFont="1" applyFill="1" applyBorder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28" xfId="0" applyFont="1" applyFill="1" applyBorder="1" applyAlignment="1" applyProtection="1">
      <alignment horizontal="center"/>
      <protection hidden="1"/>
    </xf>
    <xf numFmtId="2" fontId="8" fillId="2" borderId="28" xfId="0" applyNumberFormat="1" applyFont="1" applyFill="1" applyBorder="1" applyAlignment="1" applyProtection="1">
      <alignment horizontal="center"/>
      <protection hidden="1"/>
    </xf>
    <xf numFmtId="2" fontId="8" fillId="2" borderId="37" xfId="0" applyNumberFormat="1" applyFont="1" applyFill="1" applyBorder="1" applyAlignment="1" applyProtection="1">
      <alignment horizontal="center"/>
      <protection hidden="1"/>
    </xf>
    <xf numFmtId="179" fontId="8" fillId="2" borderId="7" xfId="0" applyNumberFormat="1" applyFont="1" applyFill="1" applyBorder="1" applyAlignment="1" applyProtection="1">
      <protection hidden="1"/>
    </xf>
    <xf numFmtId="186" fontId="8" fillId="2" borderId="31" xfId="0" applyNumberFormat="1" applyFont="1" applyFill="1" applyBorder="1" applyAlignment="1" applyProtection="1">
      <alignment vertical="center"/>
      <protection hidden="1"/>
    </xf>
    <xf numFmtId="186" fontId="8" fillId="3" borderId="49" xfId="0" applyNumberFormat="1" applyFont="1" applyFill="1" applyBorder="1" applyAlignment="1" applyProtection="1">
      <alignment vertical="center"/>
      <protection hidden="1"/>
    </xf>
    <xf numFmtId="0" fontId="8" fillId="5" borderId="0" xfId="9" applyFont="1" applyFill="1" applyProtection="1">
      <protection hidden="1"/>
    </xf>
    <xf numFmtId="0" fontId="8" fillId="5" borderId="0" xfId="9" applyFont="1" applyFill="1" applyAlignment="1" applyProtection="1">
      <alignment horizontal="center"/>
      <protection hidden="1"/>
    </xf>
    <xf numFmtId="0" fontId="9" fillId="3" borderId="65" xfId="9" applyFont="1" applyFill="1" applyBorder="1" applyAlignment="1" applyProtection="1">
      <alignment horizontal="left" vertical="center"/>
      <protection hidden="1"/>
    </xf>
    <xf numFmtId="0" fontId="9" fillId="3" borderId="65" xfId="9" applyFont="1" applyFill="1" applyBorder="1" applyAlignment="1" applyProtection="1">
      <alignment vertical="center"/>
      <protection hidden="1"/>
    </xf>
    <xf numFmtId="0" fontId="8" fillId="3" borderId="65" xfId="9" applyFont="1" applyFill="1" applyBorder="1" applyAlignment="1" applyProtection="1">
      <alignment vertical="center"/>
      <protection hidden="1"/>
    </xf>
    <xf numFmtId="0" fontId="9" fillId="3" borderId="65" xfId="9" applyFont="1" applyFill="1" applyBorder="1" applyAlignment="1" applyProtection="1">
      <alignment horizontal="right" vertical="center"/>
      <protection hidden="1"/>
    </xf>
    <xf numFmtId="0" fontId="9" fillId="4" borderId="1" xfId="9" applyFont="1" applyFill="1" applyBorder="1" applyAlignment="1" applyProtection="1">
      <alignment horizontal="right" vertical="top"/>
      <protection hidden="1"/>
    </xf>
    <xf numFmtId="0" fontId="9" fillId="4" borderId="0" xfId="9" applyFont="1" applyFill="1" applyBorder="1" applyAlignment="1" applyProtection="1">
      <alignment horizontal="right" vertical="top"/>
      <protection hidden="1"/>
    </xf>
    <xf numFmtId="0" fontId="8" fillId="2" borderId="0" xfId="9" applyFont="1" applyFill="1" applyAlignment="1" applyProtection="1">
      <alignment vertical="top"/>
      <protection hidden="1"/>
    </xf>
    <xf numFmtId="0" fontId="8" fillId="3" borderId="0" xfId="9" applyFont="1" applyFill="1" applyBorder="1" applyAlignment="1" applyProtection="1">
      <alignment horizontal="left" indent="2"/>
      <protection hidden="1"/>
    </xf>
    <xf numFmtId="0" fontId="8" fillId="3" borderId="0" xfId="9" applyFont="1" applyFill="1" applyBorder="1" applyAlignment="1" applyProtection="1">
      <alignment vertical="top"/>
      <protection hidden="1"/>
    </xf>
    <xf numFmtId="0" fontId="8" fillId="4" borderId="2" xfId="9" applyFont="1" applyFill="1" applyBorder="1" applyAlignment="1" applyProtection="1">
      <alignment vertical="center"/>
      <protection hidden="1"/>
    </xf>
    <xf numFmtId="0" fontId="8" fillId="4" borderId="0" xfId="9" applyFont="1" applyFill="1" applyBorder="1" applyAlignment="1" applyProtection="1">
      <alignment vertical="center"/>
      <protection hidden="1"/>
    </xf>
    <xf numFmtId="0" fontId="8" fillId="2" borderId="0" xfId="9" applyFont="1" applyFill="1" applyProtection="1">
      <protection hidden="1"/>
    </xf>
    <xf numFmtId="0" fontId="8" fillId="4" borderId="2" xfId="9" applyFont="1" applyFill="1" applyBorder="1" applyAlignment="1" applyProtection="1">
      <alignment horizontal="center" vertical="center"/>
      <protection hidden="1"/>
    </xf>
    <xf numFmtId="0" fontId="8" fillId="4" borderId="0" xfId="9" applyFont="1" applyFill="1" applyBorder="1" applyAlignment="1" applyProtection="1">
      <alignment horizontal="center" vertical="center"/>
      <protection hidden="1"/>
    </xf>
    <xf numFmtId="0" fontId="8" fillId="4" borderId="0" xfId="9" applyFont="1" applyFill="1" applyBorder="1" applyProtection="1">
      <protection hidden="1"/>
    </xf>
    <xf numFmtId="0" fontId="8" fillId="3" borderId="0" xfId="9" applyFont="1" applyFill="1" applyBorder="1" applyProtection="1">
      <protection hidden="1"/>
    </xf>
    <xf numFmtId="0" fontId="8" fillId="3" borderId="0" xfId="9" applyFont="1" applyFill="1" applyBorder="1" applyAlignment="1" applyProtection="1">
      <alignment horizontal="center"/>
      <protection hidden="1"/>
    </xf>
    <xf numFmtId="0" fontId="8" fillId="4" borderId="2" xfId="9" applyFont="1" applyFill="1" applyBorder="1" applyProtection="1">
      <protection hidden="1"/>
    </xf>
    <xf numFmtId="0" fontId="8" fillId="9" borderId="0" xfId="9" applyNumberFormat="1" applyFont="1" applyFill="1" applyBorder="1" applyAlignment="1" applyProtection="1">
      <protection hidden="1"/>
    </xf>
    <xf numFmtId="0" fontId="8" fillId="2" borderId="0" xfId="9" applyNumberFormat="1" applyFont="1" applyFill="1" applyBorder="1" applyAlignment="1" applyProtection="1">
      <protection hidden="1"/>
    </xf>
    <xf numFmtId="0" fontId="8" fillId="9" borderId="0" xfId="0" applyNumberFormat="1" applyFont="1" applyFill="1" applyBorder="1" applyAlignment="1" applyProtection="1">
      <protection hidden="1"/>
    </xf>
    <xf numFmtId="0" fontId="8" fillId="2" borderId="0" xfId="0" applyNumberFormat="1" applyFont="1" applyFill="1" applyBorder="1" applyAlignment="1" applyProtection="1">
      <protection hidden="1"/>
    </xf>
    <xf numFmtId="0" fontId="9" fillId="3" borderId="7" xfId="9" applyFont="1" applyFill="1" applyBorder="1" applyAlignment="1" applyProtection="1">
      <alignment horizontal="center" vertical="center"/>
      <protection hidden="1"/>
    </xf>
    <xf numFmtId="0" fontId="9" fillId="3" borderId="11" xfId="9" applyFont="1" applyFill="1" applyBorder="1" applyAlignment="1" applyProtection="1">
      <alignment horizontal="center" vertical="center"/>
      <protection hidden="1"/>
    </xf>
    <xf numFmtId="172" fontId="9" fillId="2" borderId="28" xfId="0" applyNumberFormat="1" applyFont="1" applyFill="1" applyBorder="1" applyAlignment="1" applyProtection="1">
      <alignment horizontal="center" vertical="top"/>
      <protection hidden="1"/>
    </xf>
    <xf numFmtId="172" fontId="9" fillId="2" borderId="42" xfId="0" applyNumberFormat="1" applyFont="1" applyFill="1" applyBorder="1" applyAlignment="1" applyProtection="1">
      <alignment horizontal="center" vertical="top"/>
      <protection hidden="1"/>
    </xf>
    <xf numFmtId="0" fontId="8" fillId="9" borderId="5" xfId="9" applyNumberFormat="1" applyFont="1" applyFill="1" applyBorder="1" applyAlignment="1" applyProtection="1">
      <protection hidden="1"/>
    </xf>
    <xf numFmtId="0" fontId="8" fillId="9" borderId="32" xfId="9" applyNumberFormat="1" applyFont="1" applyFill="1" applyBorder="1" applyAlignment="1" applyProtection="1">
      <protection hidden="1"/>
    </xf>
    <xf numFmtId="0" fontId="8" fillId="9" borderId="31" xfId="9" applyNumberFormat="1" applyFont="1" applyFill="1" applyBorder="1" applyAlignment="1" applyProtection="1">
      <protection hidden="1"/>
    </xf>
    <xf numFmtId="172" fontId="9" fillId="9" borderId="45" xfId="0" applyNumberFormat="1" applyFont="1" applyFill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horizontal="left" vertical="center" indent="2"/>
      <protection hidden="1"/>
    </xf>
    <xf numFmtId="0" fontId="8" fillId="2" borderId="49" xfId="0" applyFont="1" applyFill="1" applyBorder="1" applyAlignment="1" applyProtection="1">
      <alignment horizontal="center" vertical="center"/>
      <protection hidden="1"/>
    </xf>
    <xf numFmtId="0" fontId="8" fillId="9" borderId="0" xfId="0" quotePrefix="1" applyNumberFormat="1" applyFont="1" applyFill="1" applyBorder="1" applyAlignment="1" applyProtection="1">
      <protection hidden="1"/>
    </xf>
    <xf numFmtId="0" fontId="9" fillId="3" borderId="34" xfId="9" applyFont="1" applyFill="1" applyBorder="1" applyAlignment="1" applyProtection="1">
      <alignment horizontal="left" vertical="center" indent="1"/>
      <protection hidden="1"/>
    </xf>
    <xf numFmtId="0" fontId="8" fillId="9" borderId="82" xfId="9" applyNumberFormat="1" applyFont="1" applyFill="1" applyBorder="1" applyAlignment="1" applyProtection="1">
      <protection hidden="1"/>
    </xf>
    <xf numFmtId="0" fontId="8" fillId="9" borderId="58" xfId="9" applyNumberFormat="1" applyFont="1" applyFill="1" applyBorder="1" applyAlignment="1" applyProtection="1">
      <protection hidden="1"/>
    </xf>
    <xf numFmtId="0" fontId="8" fillId="2" borderId="0" xfId="0" quotePrefix="1" applyNumberFormat="1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2" fontId="8" fillId="2" borderId="0" xfId="0" quotePrefix="1" applyNumberFormat="1" applyFont="1" applyFill="1" applyBorder="1" applyAlignment="1" applyProtection="1">
      <alignment horizontal="center" vertical="center"/>
      <protection hidden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0" xfId="9" applyFont="1" applyFill="1" applyBorder="1" applyAlignment="1" applyProtection="1">
      <protection hidden="1"/>
    </xf>
    <xf numFmtId="0" fontId="8" fillId="4" borderId="2" xfId="9" applyFont="1" applyFill="1" applyBorder="1" applyAlignment="1" applyProtection="1">
      <alignment horizontal="centerContinuous" vertical="center"/>
      <protection hidden="1"/>
    </xf>
    <xf numFmtId="0" fontId="8" fillId="4" borderId="0" xfId="9" applyFont="1" applyFill="1" applyBorder="1" applyAlignment="1" applyProtection="1">
      <alignment horizontal="centerContinuous" vertical="center"/>
      <protection hidden="1"/>
    </xf>
    <xf numFmtId="0" fontId="8" fillId="2" borderId="0" xfId="9" applyFont="1" applyFill="1" applyAlignment="1" applyProtection="1">
      <alignment vertical="center"/>
      <protection hidden="1"/>
    </xf>
    <xf numFmtId="0" fontId="8" fillId="3" borderId="60" xfId="9" applyFont="1" applyFill="1" applyBorder="1" applyAlignment="1" applyProtection="1">
      <alignment horizontal="centerContinuous" vertical="center"/>
      <protection hidden="1"/>
    </xf>
    <xf numFmtId="0" fontId="8" fillId="4" borderId="42" xfId="9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protection hidden="1"/>
    </xf>
    <xf numFmtId="0" fontId="9" fillId="3" borderId="8" xfId="9" applyFont="1" applyFill="1" applyBorder="1" applyAlignment="1" applyProtection="1">
      <alignment horizontal="center" vertical="center"/>
      <protection hidden="1"/>
    </xf>
    <xf numFmtId="0" fontId="8" fillId="9" borderId="33" xfId="9" applyNumberFormat="1" applyFont="1" applyFill="1" applyBorder="1" applyAlignment="1" applyProtection="1">
      <protection hidden="1"/>
    </xf>
    <xf numFmtId="0" fontId="9" fillId="3" borderId="9" xfId="9" applyFont="1" applyFill="1" applyBorder="1" applyAlignment="1" applyProtection="1">
      <alignment horizontal="center" vertical="center"/>
      <protection hidden="1"/>
    </xf>
    <xf numFmtId="0" fontId="8" fillId="3" borderId="10" xfId="9" applyFont="1" applyFill="1" applyBorder="1" applyProtection="1">
      <protection hidden="1"/>
    </xf>
    <xf numFmtId="172" fontId="9" fillId="2" borderId="7" xfId="0" applyNumberFormat="1" applyFont="1" applyFill="1" applyBorder="1" applyAlignment="1" applyProtection="1">
      <alignment horizontal="center" vertical="top"/>
      <protection hidden="1"/>
    </xf>
    <xf numFmtId="172" fontId="9" fillId="2" borderId="11" xfId="0" applyNumberFormat="1" applyFont="1" applyFill="1" applyBorder="1" applyAlignment="1" applyProtection="1">
      <alignment horizontal="center" vertical="top"/>
      <protection hidden="1"/>
    </xf>
    <xf numFmtId="0" fontId="9" fillId="3" borderId="10" xfId="9" applyFont="1" applyFill="1" applyBorder="1" applyAlignment="1" applyProtection="1">
      <alignment horizontal="left" vertical="center" indent="1"/>
      <protection hidden="1"/>
    </xf>
    <xf numFmtId="180" fontId="9" fillId="9" borderId="1" xfId="9" applyNumberFormat="1" applyFont="1" applyFill="1" applyBorder="1" applyAlignment="1" applyProtection="1">
      <alignment vertical="center"/>
      <protection hidden="1"/>
    </xf>
    <xf numFmtId="180" fontId="9" fillId="9" borderId="5" xfId="9" applyNumberFormat="1" applyFont="1" applyFill="1" applyBorder="1" applyAlignment="1" applyProtection="1">
      <alignment vertical="center"/>
      <protection hidden="1"/>
    </xf>
    <xf numFmtId="180" fontId="9" fillId="9" borderId="31" xfId="9" applyNumberFormat="1" applyFont="1" applyFill="1" applyBorder="1" applyAlignment="1" applyProtection="1">
      <alignment vertical="center"/>
      <protection hidden="1"/>
    </xf>
    <xf numFmtId="180" fontId="9" fillId="9" borderId="32" xfId="9" applyNumberFormat="1" applyFont="1" applyFill="1" applyBorder="1" applyAlignment="1" applyProtection="1">
      <alignment vertical="center"/>
      <protection hidden="1"/>
    </xf>
    <xf numFmtId="180" fontId="9" fillId="9" borderId="33" xfId="9" applyNumberFormat="1" applyFont="1" applyFill="1" applyBorder="1" applyAlignment="1" applyProtection="1">
      <alignment vertical="center"/>
      <protection hidden="1"/>
    </xf>
    <xf numFmtId="180" fontId="9" fillId="3" borderId="91" xfId="9" applyNumberFormat="1" applyFont="1" applyFill="1" applyBorder="1" applyAlignment="1" applyProtection="1">
      <alignment vertical="center"/>
      <protection hidden="1"/>
    </xf>
    <xf numFmtId="0" fontId="8" fillId="3" borderId="36" xfId="9" applyFont="1" applyFill="1" applyBorder="1" applyProtection="1">
      <protection hidden="1"/>
    </xf>
    <xf numFmtId="172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9" fillId="3" borderId="8" xfId="9" applyFont="1" applyFill="1" applyBorder="1" applyAlignment="1" applyProtection="1">
      <alignment horizontal="center" vertical="top" wrapText="1"/>
      <protection hidden="1"/>
    </xf>
    <xf numFmtId="180" fontId="9" fillId="9" borderId="4" xfId="9" applyNumberFormat="1" applyFont="1" applyFill="1" applyBorder="1" applyAlignment="1" applyProtection="1">
      <alignment vertical="center"/>
      <protection hidden="1"/>
    </xf>
    <xf numFmtId="180" fontId="9" fillId="9" borderId="35" xfId="9" applyNumberFormat="1" applyFont="1" applyFill="1" applyBorder="1" applyAlignment="1" applyProtection="1">
      <alignment vertical="center"/>
      <protection hidden="1"/>
    </xf>
    <xf numFmtId="0" fontId="8" fillId="3" borderId="91" xfId="9" applyNumberFormat="1" applyFont="1" applyFill="1" applyBorder="1" applyAlignment="1" applyProtection="1">
      <protection hidden="1"/>
    </xf>
    <xf numFmtId="0" fontId="9" fillId="3" borderId="9" xfId="9" applyFont="1" applyFill="1" applyBorder="1" applyAlignment="1" applyProtection="1">
      <alignment horizontal="center" vertical="top" wrapText="1"/>
      <protection hidden="1"/>
    </xf>
    <xf numFmtId="0" fontId="9" fillId="3" borderId="0" xfId="9" applyFont="1" applyFill="1" applyBorder="1" applyAlignment="1" applyProtection="1">
      <alignment horizontal="center" vertical="top" wrapText="1"/>
      <protection hidden="1"/>
    </xf>
    <xf numFmtId="180" fontId="9" fillId="3" borderId="94" xfId="9" applyNumberFormat="1" applyFont="1" applyFill="1" applyBorder="1" applyAlignment="1" applyProtection="1">
      <alignment vertical="center"/>
      <protection hidden="1"/>
    </xf>
    <xf numFmtId="180" fontId="9" fillId="9" borderId="40" xfId="9" applyNumberFormat="1" applyFont="1" applyFill="1" applyBorder="1" applyAlignment="1" applyProtection="1">
      <alignment vertical="center"/>
      <protection hidden="1"/>
    </xf>
    <xf numFmtId="0" fontId="8" fillId="9" borderId="40" xfId="9" applyNumberFormat="1" applyFont="1" applyFill="1" applyBorder="1" applyAlignment="1" applyProtection="1">
      <protection hidden="1"/>
    </xf>
    <xf numFmtId="180" fontId="9" fillId="9" borderId="44" xfId="9" applyNumberFormat="1" applyFont="1" applyFill="1" applyBorder="1" applyAlignment="1" applyProtection="1">
      <alignment vertical="center"/>
      <protection hidden="1"/>
    </xf>
    <xf numFmtId="0" fontId="9" fillId="3" borderId="6" xfId="9" applyFont="1" applyFill="1" applyBorder="1" applyAlignment="1" applyProtection="1">
      <alignment horizontal="center" vertical="center"/>
      <protection hidden="1"/>
    </xf>
    <xf numFmtId="0" fontId="9" fillId="3" borderId="12" xfId="9" applyFont="1" applyFill="1" applyBorder="1" applyAlignment="1" applyProtection="1">
      <alignment horizontal="center" vertical="center"/>
      <protection hidden="1"/>
    </xf>
    <xf numFmtId="172" fontId="9" fillId="2" borderId="6" xfId="0" applyNumberFormat="1" applyFont="1" applyFill="1" applyBorder="1" applyAlignment="1" applyProtection="1">
      <alignment horizontal="center" vertical="top"/>
      <protection hidden="1"/>
    </xf>
    <xf numFmtId="172" fontId="9" fillId="2" borderId="12" xfId="0" applyNumberFormat="1" applyFont="1" applyFill="1" applyBorder="1" applyAlignment="1" applyProtection="1">
      <alignment horizontal="center" vertical="top"/>
      <protection hidden="1"/>
    </xf>
    <xf numFmtId="172" fontId="9" fillId="2" borderId="27" xfId="0" applyNumberFormat="1" applyFont="1" applyFill="1" applyBorder="1" applyAlignment="1" applyProtection="1">
      <alignment horizontal="center" vertical="top"/>
      <protection hidden="1"/>
    </xf>
    <xf numFmtId="172" fontId="9" fillId="2" borderId="38" xfId="0" applyNumberFormat="1" applyFont="1" applyFill="1" applyBorder="1" applyAlignment="1" applyProtection="1">
      <alignment horizontal="center" vertical="top"/>
      <protection hidden="1"/>
    </xf>
    <xf numFmtId="180" fontId="9" fillId="9" borderId="39" xfId="9" applyNumberFormat="1" applyFont="1" applyFill="1" applyBorder="1" applyAlignment="1" applyProtection="1">
      <alignment vertical="center"/>
      <protection hidden="1"/>
    </xf>
    <xf numFmtId="180" fontId="9" fillId="9" borderId="43" xfId="9" applyNumberFormat="1" applyFont="1" applyFill="1" applyBorder="1" applyAlignment="1" applyProtection="1">
      <alignment vertical="center"/>
      <protection hidden="1"/>
    </xf>
    <xf numFmtId="0" fontId="8" fillId="9" borderId="30" xfId="9" applyNumberFormat="1" applyFont="1" applyFill="1" applyBorder="1" applyAlignment="1" applyProtection="1">
      <protection hidden="1"/>
    </xf>
    <xf numFmtId="0" fontId="8" fillId="9" borderId="43" xfId="9" applyNumberFormat="1" applyFont="1" applyFill="1" applyBorder="1" applyAlignment="1" applyProtection="1">
      <protection hidden="1"/>
    </xf>
    <xf numFmtId="180" fontId="9" fillId="9" borderId="72" xfId="9" applyNumberFormat="1" applyFont="1" applyFill="1" applyBorder="1" applyAlignment="1" applyProtection="1">
      <alignment vertical="center"/>
      <protection hidden="1"/>
    </xf>
    <xf numFmtId="180" fontId="9" fillId="9" borderId="95" xfId="9" applyNumberFormat="1" applyFont="1" applyFill="1" applyBorder="1" applyAlignment="1" applyProtection="1">
      <alignment vertical="center"/>
      <protection hidden="1"/>
    </xf>
    <xf numFmtId="0" fontId="9" fillId="3" borderId="6" xfId="9" applyFont="1" applyFill="1" applyBorder="1" applyAlignment="1" applyProtection="1">
      <alignment horizontal="center" vertical="top"/>
      <protection hidden="1"/>
    </xf>
    <xf numFmtId="0" fontId="9" fillId="3" borderId="7" xfId="9" applyFont="1" applyFill="1" applyBorder="1" applyAlignment="1" applyProtection="1">
      <alignment horizontal="center" vertical="top"/>
      <protection hidden="1"/>
    </xf>
    <xf numFmtId="0" fontId="9" fillId="3" borderId="12" xfId="9" applyFont="1" applyFill="1" applyBorder="1" applyAlignment="1" applyProtection="1">
      <alignment horizontal="center" vertical="top" wrapText="1"/>
      <protection hidden="1"/>
    </xf>
    <xf numFmtId="0" fontId="9" fillId="3" borderId="0" xfId="9" applyFont="1" applyFill="1" applyBorder="1" applyAlignment="1" applyProtection="1">
      <alignment horizontal="center" vertical="center"/>
      <protection hidden="1"/>
    </xf>
    <xf numFmtId="172" fontId="9" fillId="2" borderId="0" xfId="0" applyNumberFormat="1" applyFont="1" applyFill="1" applyBorder="1" applyAlignment="1" applyProtection="1">
      <alignment horizontal="center" vertical="top"/>
      <protection hidden="1"/>
    </xf>
    <xf numFmtId="180" fontId="9" fillId="9" borderId="65" xfId="9" applyNumberFormat="1" applyFont="1" applyFill="1" applyBorder="1" applyAlignment="1" applyProtection="1">
      <alignment vertical="center"/>
      <protection hidden="1"/>
    </xf>
    <xf numFmtId="0" fontId="8" fillId="9" borderId="65" xfId="9" applyNumberFormat="1" applyFont="1" applyFill="1" applyBorder="1" applyAlignment="1" applyProtection="1">
      <protection hidden="1"/>
    </xf>
    <xf numFmtId="0" fontId="8" fillId="3" borderId="12" xfId="9" applyFont="1" applyFill="1" applyBorder="1" applyAlignment="1" applyProtection="1">
      <protection hidden="1"/>
    </xf>
    <xf numFmtId="0" fontId="9" fillId="3" borderId="12" xfId="9" applyFont="1" applyFill="1" applyBorder="1" applyAlignment="1" applyProtection="1">
      <alignment horizontal="left" vertical="center" indent="1"/>
      <protection hidden="1"/>
    </xf>
    <xf numFmtId="0" fontId="8" fillId="3" borderId="12" xfId="9" applyFont="1" applyFill="1" applyBorder="1" applyProtection="1">
      <protection hidden="1"/>
    </xf>
    <xf numFmtId="0" fontId="8" fillId="2" borderId="12" xfId="0" applyFont="1" applyFill="1" applyBorder="1" applyAlignment="1" applyProtection="1">
      <alignment horizontal="left" vertical="center" indent="2"/>
      <protection hidden="1"/>
    </xf>
    <xf numFmtId="0" fontId="9" fillId="2" borderId="12" xfId="0" applyFont="1" applyFill="1" applyBorder="1" applyAlignment="1" applyProtection="1">
      <alignment horizontal="left" vertical="center" indent="2"/>
      <protection hidden="1"/>
    </xf>
    <xf numFmtId="0" fontId="9" fillId="2" borderId="95" xfId="0" applyFont="1" applyFill="1" applyBorder="1" applyAlignment="1" applyProtection="1">
      <alignment horizontal="left" vertical="center" indent="1"/>
      <protection hidden="1"/>
    </xf>
    <xf numFmtId="0" fontId="9" fillId="2" borderId="38" xfId="0" applyFont="1" applyFill="1" applyBorder="1" applyAlignment="1" applyProtection="1">
      <alignment horizontal="left" vertical="center" indent="2"/>
      <protection hidden="1"/>
    </xf>
    <xf numFmtId="0" fontId="9" fillId="3" borderId="18" xfId="9" applyFont="1" applyFill="1" applyBorder="1" applyAlignment="1" applyProtection="1">
      <alignment horizontal="left" vertical="center" indent="1"/>
      <protection hidden="1"/>
    </xf>
    <xf numFmtId="0" fontId="9" fillId="3" borderId="11" xfId="9" applyFont="1" applyFill="1" applyBorder="1" applyAlignment="1" applyProtection="1">
      <alignment horizontal="center" vertical="center" wrapText="1"/>
      <protection hidden="1"/>
    </xf>
    <xf numFmtId="0" fontId="8" fillId="3" borderId="18" xfId="9" applyFont="1" applyFill="1" applyBorder="1" applyProtection="1">
      <protection hidden="1"/>
    </xf>
    <xf numFmtId="0" fontId="8" fillId="3" borderId="10" xfId="9" applyFont="1" applyFill="1" applyBorder="1" applyAlignment="1" applyProtection="1">
      <protection hidden="1"/>
    </xf>
    <xf numFmtId="0" fontId="9" fillId="2" borderId="36" xfId="0" applyFont="1" applyFill="1" applyBorder="1" applyAlignment="1" applyProtection="1">
      <alignment horizontal="left" vertical="center" indent="2"/>
      <protection hidden="1"/>
    </xf>
    <xf numFmtId="0" fontId="8" fillId="2" borderId="39" xfId="0" applyFont="1" applyFill="1" applyBorder="1" applyAlignment="1" applyProtection="1">
      <alignment horizontal="left" vertical="center" indent="1"/>
      <protection hidden="1"/>
    </xf>
    <xf numFmtId="0" fontId="9" fillId="3" borderId="10" xfId="9" applyFont="1" applyFill="1" applyBorder="1" applyAlignment="1" applyProtection="1">
      <alignment horizontal="center" vertical="center"/>
      <protection hidden="1"/>
    </xf>
    <xf numFmtId="172" fontId="9" fillId="2" borderId="10" xfId="0" applyNumberFormat="1" applyFont="1" applyFill="1" applyBorder="1" applyAlignment="1" applyProtection="1">
      <alignment horizontal="center" vertical="top"/>
      <protection hidden="1"/>
    </xf>
    <xf numFmtId="180" fontId="9" fillId="9" borderId="3" xfId="9" applyNumberFormat="1" applyFont="1" applyFill="1" applyBorder="1" applyAlignment="1" applyProtection="1">
      <alignment vertical="center"/>
      <protection hidden="1"/>
    </xf>
    <xf numFmtId="0" fontId="9" fillId="3" borderId="10" xfId="9" applyFont="1" applyFill="1" applyBorder="1" applyAlignment="1" applyProtection="1">
      <alignment horizontal="center" vertical="top" wrapText="1"/>
      <protection hidden="1"/>
    </xf>
    <xf numFmtId="180" fontId="9" fillId="3" borderId="96" xfId="9" applyNumberFormat="1" applyFont="1" applyFill="1" applyBorder="1" applyAlignment="1" applyProtection="1">
      <alignment vertical="center"/>
      <protection hidden="1"/>
    </xf>
    <xf numFmtId="180" fontId="9" fillId="3" borderId="35" xfId="9" applyNumberFormat="1" applyFont="1" applyFill="1" applyBorder="1" applyAlignment="1" applyProtection="1">
      <alignment vertical="center"/>
      <protection hidden="1"/>
    </xf>
    <xf numFmtId="180" fontId="9" fillId="9" borderId="45" xfId="9" applyNumberFormat="1" applyFont="1" applyFill="1" applyBorder="1" applyAlignment="1" applyProtection="1">
      <alignment vertical="center"/>
      <protection hidden="1"/>
    </xf>
    <xf numFmtId="180" fontId="9" fillId="2" borderId="43" xfId="9" applyNumberFormat="1" applyFont="1" applyFill="1" applyBorder="1" applyAlignment="1" applyProtection="1">
      <alignment vertical="center"/>
      <protection hidden="1"/>
    </xf>
    <xf numFmtId="180" fontId="9" fillId="2" borderId="97" xfId="9" applyNumberFormat="1" applyFont="1" applyFill="1" applyBorder="1" applyAlignment="1" applyProtection="1">
      <alignment vertical="center"/>
      <protection hidden="1"/>
    </xf>
    <xf numFmtId="180" fontId="9" fillId="9" borderId="98" xfId="9" applyNumberFormat="1" applyFont="1" applyFill="1" applyBorder="1" applyAlignment="1" applyProtection="1">
      <alignment vertical="center"/>
      <protection hidden="1"/>
    </xf>
    <xf numFmtId="180" fontId="9" fillId="9" borderId="93" xfId="9" applyNumberFormat="1" applyFont="1" applyFill="1" applyBorder="1" applyAlignment="1" applyProtection="1">
      <alignment vertical="center"/>
      <protection hidden="1"/>
    </xf>
    <xf numFmtId="180" fontId="9" fillId="9" borderId="92" xfId="9" applyNumberFormat="1" applyFont="1" applyFill="1" applyBorder="1" applyAlignment="1" applyProtection="1">
      <alignment vertical="center"/>
      <protection hidden="1"/>
    </xf>
    <xf numFmtId="180" fontId="8" fillId="0" borderId="65" xfId="9" applyNumberFormat="1" applyFont="1" applyFill="1" applyBorder="1" applyAlignment="1" applyProtection="1">
      <alignment vertical="center"/>
      <protection locked="0"/>
    </xf>
    <xf numFmtId="180" fontId="8" fillId="0" borderId="72" xfId="9" applyNumberFormat="1" applyFont="1" applyFill="1" applyBorder="1" applyAlignment="1" applyProtection="1">
      <alignment vertical="center"/>
      <protection locked="0"/>
    </xf>
    <xf numFmtId="180" fontId="8" fillId="0" borderId="5" xfId="9" applyNumberFormat="1" applyFont="1" applyFill="1" applyBorder="1" applyAlignment="1" applyProtection="1">
      <alignment vertical="center"/>
      <protection locked="0"/>
    </xf>
    <xf numFmtId="180" fontId="8" fillId="0" borderId="1" xfId="9" applyNumberFormat="1" applyFont="1" applyFill="1" applyBorder="1" applyAlignment="1" applyProtection="1">
      <alignment vertical="center"/>
      <protection locked="0"/>
    </xf>
    <xf numFmtId="180" fontId="8" fillId="0" borderId="95" xfId="9" applyNumberFormat="1" applyFont="1" applyFill="1" applyBorder="1" applyAlignment="1" applyProtection="1">
      <alignment vertical="center"/>
      <protection locked="0"/>
    </xf>
    <xf numFmtId="180" fontId="8" fillId="0" borderId="45" xfId="0" applyNumberFormat="1" applyFont="1" applyFill="1" applyBorder="1" applyAlignment="1" applyProtection="1">
      <alignment vertical="center"/>
      <protection locked="0"/>
    </xf>
    <xf numFmtId="180" fontId="9" fillId="9" borderId="55" xfId="9" applyNumberFormat="1" applyFont="1" applyFill="1" applyBorder="1" applyAlignment="1" applyProtection="1">
      <alignment vertical="center"/>
      <protection hidden="1"/>
    </xf>
    <xf numFmtId="180" fontId="9" fillId="9" borderId="49" xfId="9" applyNumberFormat="1" applyFont="1" applyFill="1" applyBorder="1" applyAlignment="1" applyProtection="1">
      <alignment vertical="center"/>
      <protection hidden="1"/>
    </xf>
    <xf numFmtId="180" fontId="9" fillId="9" borderId="54" xfId="9" applyNumberFormat="1" applyFont="1" applyFill="1" applyBorder="1" applyAlignment="1" applyProtection="1">
      <alignment vertical="center"/>
      <protection hidden="1"/>
    </xf>
    <xf numFmtId="180" fontId="9" fillId="9" borderId="52" xfId="9" applyNumberFormat="1" applyFont="1" applyFill="1" applyBorder="1" applyAlignment="1" applyProtection="1">
      <alignment vertical="center"/>
      <protection hidden="1"/>
    </xf>
    <xf numFmtId="180" fontId="9" fillId="9" borderId="51" xfId="9" applyNumberFormat="1" applyFont="1" applyFill="1" applyBorder="1" applyAlignment="1" applyProtection="1">
      <alignment vertical="center"/>
      <protection hidden="1"/>
    </xf>
    <xf numFmtId="180" fontId="9" fillId="9" borderId="53" xfId="9" applyNumberFormat="1" applyFont="1" applyFill="1" applyBorder="1" applyAlignment="1" applyProtection="1">
      <alignment vertical="center"/>
      <protection hidden="1"/>
    </xf>
    <xf numFmtId="180" fontId="8" fillId="0" borderId="30" xfId="9" applyNumberFormat="1" applyFont="1" applyFill="1" applyBorder="1" applyAlignment="1" applyProtection="1">
      <alignment vertical="center"/>
      <protection locked="0"/>
    </xf>
    <xf numFmtId="180" fontId="8" fillId="0" borderId="31" xfId="9" applyNumberFormat="1" applyFont="1" applyFill="1" applyBorder="1" applyAlignment="1" applyProtection="1">
      <alignment vertical="center"/>
      <protection locked="0"/>
    </xf>
    <xf numFmtId="180" fontId="8" fillId="0" borderId="43" xfId="9" applyNumberFormat="1" applyFont="1" applyFill="1" applyBorder="1" applyAlignment="1" applyProtection="1">
      <alignment vertical="center"/>
      <protection locked="0"/>
    </xf>
    <xf numFmtId="180" fontId="8" fillId="0" borderId="32" xfId="9" applyNumberFormat="1" applyFont="1" applyFill="1" applyBorder="1" applyAlignment="1" applyProtection="1">
      <alignment vertical="center"/>
      <protection locked="0"/>
    </xf>
    <xf numFmtId="180" fontId="8" fillId="0" borderId="39" xfId="9" applyNumberFormat="1" applyFont="1" applyFill="1" applyBorder="1" applyAlignment="1" applyProtection="1">
      <alignment vertical="center"/>
      <protection locked="0"/>
    </xf>
    <xf numFmtId="180" fontId="8" fillId="0" borderId="50" xfId="9" applyNumberFormat="1" applyFont="1" applyFill="1" applyBorder="1" applyAlignment="1" applyProtection="1">
      <alignment vertical="center"/>
      <protection locked="0"/>
    </xf>
    <xf numFmtId="180" fontId="8" fillId="0" borderId="10" xfId="9" applyNumberFormat="1" applyFont="1" applyFill="1" applyBorder="1" applyAlignment="1" applyProtection="1">
      <alignment vertical="center"/>
      <protection locked="0"/>
    </xf>
    <xf numFmtId="180" fontId="8" fillId="0" borderId="27" xfId="9" applyNumberFormat="1" applyFont="1" applyFill="1" applyBorder="1" applyAlignment="1" applyProtection="1">
      <alignment vertical="center"/>
      <protection locked="0"/>
    </xf>
    <xf numFmtId="180" fontId="8" fillId="0" borderId="28" xfId="9" applyNumberFormat="1" applyFont="1" applyFill="1" applyBorder="1" applyAlignment="1" applyProtection="1">
      <alignment vertical="center"/>
      <protection locked="0"/>
    </xf>
    <xf numFmtId="180" fontId="8" fillId="0" borderId="0" xfId="9" applyNumberFormat="1" applyFont="1" applyFill="1" applyBorder="1" applyAlignment="1" applyProtection="1">
      <alignment vertical="center"/>
      <protection locked="0"/>
    </xf>
    <xf numFmtId="180" fontId="8" fillId="0" borderId="6" xfId="9" applyNumberFormat="1" applyFont="1" applyFill="1" applyBorder="1" applyAlignment="1" applyProtection="1">
      <alignment vertical="center"/>
      <protection locked="0"/>
    </xf>
    <xf numFmtId="180" fontId="8" fillId="0" borderId="7" xfId="9" applyNumberFormat="1" applyFont="1" applyFill="1" applyBorder="1" applyAlignment="1" applyProtection="1">
      <alignment vertical="center"/>
      <protection locked="0"/>
    </xf>
    <xf numFmtId="180" fontId="8" fillId="0" borderId="3" xfId="9" applyNumberFormat="1" applyFont="1" applyFill="1" applyBorder="1" applyAlignment="1" applyProtection="1">
      <alignment vertical="center"/>
      <protection locked="0"/>
    </xf>
    <xf numFmtId="180" fontId="9" fillId="9" borderId="63" xfId="9" applyNumberFormat="1" applyFont="1" applyFill="1" applyBorder="1" applyAlignment="1" applyProtection="1">
      <alignment vertical="center"/>
      <protection hidden="1"/>
    </xf>
    <xf numFmtId="180" fontId="9" fillId="2" borderId="53" xfId="0" applyNumberFormat="1" applyFont="1" applyFill="1" applyBorder="1" applyAlignment="1" applyProtection="1">
      <alignment vertical="center"/>
      <protection hidden="1"/>
    </xf>
    <xf numFmtId="180" fontId="8" fillId="0" borderId="35" xfId="9" applyNumberFormat="1" applyFont="1" applyFill="1" applyBorder="1" applyAlignment="1" applyProtection="1">
      <alignment vertical="center"/>
      <protection locked="0"/>
    </xf>
    <xf numFmtId="180" fontId="8" fillId="0" borderId="11" xfId="9" applyNumberFormat="1" applyFont="1" applyFill="1" applyBorder="1" applyAlignment="1" applyProtection="1">
      <alignment vertical="center"/>
      <protection locked="0"/>
    </xf>
    <xf numFmtId="180" fontId="8" fillId="0" borderId="45" xfId="9" applyNumberFormat="1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hidden="1"/>
    </xf>
    <xf numFmtId="0" fontId="9" fillId="2" borderId="73" xfId="0" applyFont="1" applyFill="1" applyBorder="1" applyAlignment="1" applyProtection="1">
      <alignment horizontal="center" vertical="top" wrapText="1"/>
      <protection hidden="1"/>
    </xf>
    <xf numFmtId="0" fontId="8" fillId="9" borderId="16" xfId="9" applyFont="1" applyFill="1" applyBorder="1" applyProtection="1">
      <protection hidden="1"/>
    </xf>
    <xf numFmtId="0" fontId="8" fillId="2" borderId="65" xfId="0" applyFont="1" applyFill="1" applyBorder="1" applyAlignment="1" applyProtection="1">
      <alignment horizontal="center" vertical="center"/>
      <protection hidden="1"/>
    </xf>
    <xf numFmtId="2" fontId="8" fillId="2" borderId="65" xfId="0" quotePrefix="1" applyNumberFormat="1" applyFont="1" applyFill="1" applyBorder="1" applyAlignment="1" applyProtection="1">
      <alignment horizontal="center" vertical="center"/>
      <protection hidden="1"/>
    </xf>
    <xf numFmtId="0" fontId="8" fillId="2" borderId="36" xfId="0" applyFont="1" applyFill="1" applyBorder="1" applyAlignment="1" applyProtection="1">
      <alignment horizontal="center" vertical="center"/>
      <protection hidden="1"/>
    </xf>
    <xf numFmtId="0" fontId="8" fillId="2" borderId="60" xfId="0" applyFont="1" applyFill="1" applyBorder="1" applyAlignment="1" applyProtection="1">
      <alignment horizontal="center" vertical="center"/>
      <protection hidden="1"/>
    </xf>
    <xf numFmtId="2" fontId="8" fillId="2" borderId="11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2" fontId="8" fillId="2" borderId="64" xfId="0" quotePrefix="1" applyNumberFormat="1" applyFont="1" applyFill="1" applyBorder="1" applyAlignment="1" applyProtection="1">
      <alignment horizontal="center" vertical="center"/>
      <protection hidden="1"/>
    </xf>
    <xf numFmtId="2" fontId="8" fillId="2" borderId="17" xfId="0" applyNumberFormat="1" applyFont="1" applyFill="1" applyBorder="1" applyAlignment="1" applyProtection="1">
      <alignment horizontal="center" vertical="center"/>
      <protection hidden="1"/>
    </xf>
    <xf numFmtId="0" fontId="9" fillId="2" borderId="84" xfId="0" applyFont="1" applyFill="1" applyBorder="1" applyAlignment="1" applyProtection="1">
      <alignment horizontal="center" vertical="top" wrapText="1"/>
      <protection hidden="1"/>
    </xf>
    <xf numFmtId="0" fontId="9" fillId="2" borderId="85" xfId="0" applyFont="1" applyFill="1" applyBorder="1" applyAlignment="1" applyProtection="1">
      <alignment horizontal="center" vertical="top" wrapText="1"/>
      <protection hidden="1"/>
    </xf>
    <xf numFmtId="0" fontId="8" fillId="9" borderId="79" xfId="9" applyFont="1" applyFill="1" applyBorder="1" applyProtection="1">
      <protection hidden="1"/>
    </xf>
    <xf numFmtId="180" fontId="8" fillId="2" borderId="32" xfId="0" applyNumberFormat="1" applyFont="1" applyFill="1" applyBorder="1" applyAlignment="1" applyProtection="1">
      <alignment vertical="center"/>
      <protection hidden="1"/>
    </xf>
    <xf numFmtId="186" fontId="8" fillId="2" borderId="32" xfId="0" quotePrefix="1" applyNumberFormat="1" applyFont="1" applyFill="1" applyBorder="1" applyAlignment="1" applyProtection="1">
      <alignment vertical="center"/>
      <protection hidden="1"/>
    </xf>
    <xf numFmtId="0" fontId="8" fillId="2" borderId="64" xfId="0" applyFont="1" applyFill="1" applyBorder="1" applyAlignment="1" applyProtection="1">
      <protection hidden="1"/>
    </xf>
    <xf numFmtId="0" fontId="8" fillId="9" borderId="37" xfId="9" applyFont="1" applyFill="1" applyBorder="1" applyProtection="1">
      <protection hidden="1"/>
    </xf>
    <xf numFmtId="0" fontId="8" fillId="2" borderId="0" xfId="9" applyFont="1" applyFill="1" applyAlignment="1" applyProtection="1">
      <protection hidden="1"/>
    </xf>
    <xf numFmtId="0" fontId="8" fillId="2" borderId="50" xfId="0" applyFont="1" applyFill="1" applyBorder="1" applyAlignment="1" applyProtection="1">
      <alignment horizontal="center" vertical="center"/>
      <protection hidden="1"/>
    </xf>
    <xf numFmtId="169" fontId="9" fillId="3" borderId="0" xfId="0" applyNumberFormat="1" applyFont="1" applyFill="1" applyBorder="1" applyProtection="1">
      <protection hidden="1"/>
    </xf>
    <xf numFmtId="0" fontId="9" fillId="4" borderId="4" xfId="0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9" fillId="5" borderId="65" xfId="0" applyNumberFormat="1" applyFont="1" applyFill="1" applyBorder="1" applyAlignment="1" applyProtection="1">
      <protection hidden="1"/>
    </xf>
    <xf numFmtId="0" fontId="9" fillId="5" borderId="65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vertical="center"/>
      <protection hidden="1"/>
    </xf>
    <xf numFmtId="0" fontId="9" fillId="5" borderId="0" xfId="0" applyNumberFormat="1" applyFont="1" applyFill="1" applyBorder="1" applyAlignment="1" applyProtection="1">
      <protection hidden="1"/>
    </xf>
    <xf numFmtId="0" fontId="9" fillId="5" borderId="2" xfId="0" applyFont="1" applyFill="1" applyBorder="1" applyAlignment="1" applyProtection="1">
      <alignment horizontal="right" indent="1"/>
      <protection hidden="1"/>
    </xf>
    <xf numFmtId="0" fontId="8" fillId="5" borderId="2" xfId="0" applyFont="1" applyFill="1" applyBorder="1" applyAlignment="1" applyProtection="1">
      <protection hidden="1"/>
    </xf>
    <xf numFmtId="0" fontId="15" fillId="4" borderId="64" xfId="0" applyFont="1" applyFill="1" applyBorder="1" applyAlignment="1" applyProtection="1">
      <alignment horizontal="center" vertical="center"/>
      <protection hidden="1"/>
    </xf>
    <xf numFmtId="178" fontId="8" fillId="5" borderId="0" xfId="0" applyNumberFormat="1" applyFont="1" applyFill="1" applyBorder="1" applyAlignment="1" applyProtection="1">
      <alignment vertical="center"/>
      <protection hidden="1"/>
    </xf>
    <xf numFmtId="180" fontId="18" fillId="5" borderId="0" xfId="0" applyNumberFormat="1" applyFont="1" applyFill="1" applyBorder="1" applyAlignment="1" applyProtection="1">
      <alignment vertical="center"/>
      <protection hidden="1"/>
    </xf>
    <xf numFmtId="0" fontId="8" fillId="9" borderId="9" xfId="0" applyFont="1" applyFill="1" applyBorder="1" applyProtection="1">
      <protection hidden="1"/>
    </xf>
    <xf numFmtId="0" fontId="8" fillId="5" borderId="0" xfId="0" applyNumberFormat="1" applyFont="1" applyFill="1" applyBorder="1" applyAlignment="1" applyProtection="1">
      <protection hidden="1"/>
    </xf>
    <xf numFmtId="0" fontId="8" fillId="5" borderId="2" xfId="0" applyNumberFormat="1" applyFont="1" applyFill="1" applyBorder="1" applyAlignment="1" applyProtection="1">
      <protection hidden="1"/>
    </xf>
    <xf numFmtId="0" fontId="8" fillId="5" borderId="21" xfId="0" applyFont="1" applyFill="1" applyBorder="1" applyAlignment="1" applyProtection="1">
      <protection hidden="1"/>
    </xf>
    <xf numFmtId="0" fontId="8" fillId="5" borderId="58" xfId="0" applyNumberFormat="1" applyFont="1" applyFill="1" applyBorder="1" applyAlignment="1" applyProtection="1">
      <protection hidden="1"/>
    </xf>
    <xf numFmtId="0" fontId="8" fillId="9" borderId="2" xfId="0" applyFont="1" applyFill="1" applyBorder="1" applyAlignment="1" applyProtection="1">
      <alignment vertical="top" wrapText="1"/>
      <protection hidden="1"/>
    </xf>
    <xf numFmtId="0" fontId="20" fillId="5" borderId="10" xfId="0" applyFont="1" applyFill="1" applyBorder="1" applyAlignment="1" applyProtection="1">
      <alignment vertical="center"/>
      <protection hidden="1"/>
    </xf>
    <xf numFmtId="178" fontId="7" fillId="0" borderId="66" xfId="0" applyNumberFormat="1" applyFont="1" applyFill="1" applyBorder="1" applyAlignment="1" applyProtection="1">
      <alignment vertical="center"/>
      <protection locked="0"/>
    </xf>
    <xf numFmtId="178" fontId="7" fillId="0" borderId="88" xfId="0" applyNumberFormat="1" applyFont="1" applyFill="1" applyBorder="1" applyAlignment="1" applyProtection="1">
      <alignment vertical="center"/>
      <protection locked="0"/>
    </xf>
    <xf numFmtId="0" fontId="8" fillId="9" borderId="2" xfId="0" applyFont="1" applyFill="1" applyBorder="1" applyProtection="1">
      <protection hidden="1"/>
    </xf>
    <xf numFmtId="178" fontId="7" fillId="0" borderId="89" xfId="0" applyNumberFormat="1" applyFont="1" applyFill="1" applyBorder="1" applyAlignment="1" applyProtection="1">
      <alignment vertical="center"/>
      <protection locked="0"/>
    </xf>
    <xf numFmtId="0" fontId="9" fillId="9" borderId="39" xfId="0" applyFont="1" applyFill="1" applyBorder="1" applyAlignment="1" applyProtection="1">
      <alignment horizontal="left" vertical="center" indent="1"/>
      <protection hidden="1"/>
    </xf>
    <xf numFmtId="0" fontId="8" fillId="9" borderId="50" xfId="0" applyFont="1" applyFill="1" applyBorder="1" applyProtection="1">
      <protection hidden="1"/>
    </xf>
    <xf numFmtId="0" fontId="9" fillId="9" borderId="34" xfId="0" applyFont="1" applyFill="1" applyBorder="1" applyAlignment="1" applyProtection="1">
      <alignment horizontal="left" vertical="center" indent="1"/>
      <protection hidden="1"/>
    </xf>
    <xf numFmtId="0" fontId="8" fillId="9" borderId="64" xfId="0" applyFont="1" applyFill="1" applyBorder="1" applyProtection="1">
      <protection hidden="1"/>
    </xf>
    <xf numFmtId="180" fontId="9" fillId="9" borderId="17" xfId="0" applyNumberFormat="1" applyFont="1" applyFill="1" applyBorder="1" applyAlignment="1" applyProtection="1">
      <alignment vertical="center"/>
      <protection hidden="1"/>
    </xf>
    <xf numFmtId="0" fontId="8" fillId="9" borderId="2" xfId="0" applyNumberFormat="1" applyFont="1" applyFill="1" applyBorder="1" applyAlignment="1" applyProtection="1">
      <protection hidden="1"/>
    </xf>
    <xf numFmtId="172" fontId="8" fillId="9" borderId="0" xfId="0" applyNumberFormat="1" applyFont="1" applyFill="1" applyBorder="1" applyProtection="1">
      <protection hidden="1"/>
    </xf>
    <xf numFmtId="172" fontId="9" fillId="5" borderId="7" xfId="0" applyNumberFormat="1" applyFont="1" applyFill="1" applyBorder="1" applyAlignment="1" applyProtection="1">
      <alignment horizontal="center" vertical="top" wrapText="1"/>
      <protection hidden="1"/>
    </xf>
    <xf numFmtId="172" fontId="9" fillId="5" borderId="8" xfId="0" applyNumberFormat="1" applyFont="1" applyFill="1" applyBorder="1" applyAlignment="1" applyProtection="1">
      <alignment horizontal="center" vertical="top" wrapText="1"/>
      <protection hidden="1"/>
    </xf>
    <xf numFmtId="0" fontId="8" fillId="9" borderId="6" xfId="0" applyFont="1" applyFill="1" applyBorder="1" applyAlignment="1" applyProtection="1">
      <alignment vertical="top" wrapText="1"/>
      <protection hidden="1"/>
    </xf>
    <xf numFmtId="0" fontId="8" fillId="9" borderId="60" xfId="0" applyFont="1" applyFill="1" applyBorder="1" applyProtection="1">
      <protection hidden="1"/>
    </xf>
    <xf numFmtId="172" fontId="8" fillId="9" borderId="60" xfId="0" applyNumberFormat="1" applyFont="1" applyFill="1" applyBorder="1" applyProtection="1">
      <protection hidden="1"/>
    </xf>
    <xf numFmtId="0" fontId="8" fillId="9" borderId="42" xfId="0" applyFont="1" applyFill="1" applyBorder="1" applyProtection="1">
      <protection hidden="1"/>
    </xf>
    <xf numFmtId="0" fontId="8" fillId="9" borderId="62" xfId="0" applyFont="1" applyFill="1" applyBorder="1" applyProtection="1">
      <protection hidden="1"/>
    </xf>
    <xf numFmtId="0" fontId="9" fillId="3" borderId="11" xfId="9" applyFont="1" applyFill="1" applyBorder="1" applyAlignment="1" applyProtection="1">
      <alignment horizontal="center" vertical="top" wrapText="1"/>
      <protection hidden="1"/>
    </xf>
    <xf numFmtId="0" fontId="9" fillId="2" borderId="64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4" fillId="4" borderId="2" xfId="0" applyFont="1" applyFill="1" applyBorder="1" applyAlignment="1" applyProtection="1">
      <alignment vertical="top"/>
      <protection hidden="1"/>
    </xf>
    <xf numFmtId="0" fontId="8" fillId="4" borderId="42" xfId="0" applyFont="1" applyFill="1" applyBorder="1" applyAlignment="1" applyProtection="1">
      <alignment vertical="center"/>
      <protection hidden="1"/>
    </xf>
    <xf numFmtId="0" fontId="8" fillId="4" borderId="60" xfId="0" applyFont="1" applyFill="1" applyBorder="1" applyAlignment="1" applyProtection="1">
      <alignment horizontal="left" indent="2"/>
      <protection hidden="1"/>
    </xf>
    <xf numFmtId="0" fontId="9" fillId="5" borderId="65" xfId="0" applyFont="1" applyFill="1" applyBorder="1" applyAlignment="1" applyProtection="1">
      <alignment vertical="center"/>
      <protection hidden="1"/>
    </xf>
    <xf numFmtId="0" fontId="8" fillId="4" borderId="64" xfId="0" applyFont="1" applyFill="1" applyBorder="1" applyAlignment="1" applyProtection="1">
      <alignment horizontal="left" indent="2"/>
      <protection hidden="1"/>
    </xf>
    <xf numFmtId="0" fontId="8" fillId="4" borderId="58" xfId="0" applyFont="1" applyFill="1" applyBorder="1" applyAlignment="1" applyProtection="1">
      <alignment vertical="center"/>
      <protection hidden="1"/>
    </xf>
    <xf numFmtId="0" fontId="8" fillId="9" borderId="0" xfId="0" applyFont="1" applyFill="1" applyBorder="1" applyAlignment="1" applyProtection="1">
      <protection hidden="1"/>
    </xf>
    <xf numFmtId="0" fontId="8" fillId="9" borderId="2" xfId="0" applyFont="1" applyFill="1" applyBorder="1" applyAlignment="1" applyProtection="1">
      <protection hidden="1"/>
    </xf>
    <xf numFmtId="172" fontId="9" fillId="5" borderId="0" xfId="0" applyNumberFormat="1" applyFont="1" applyFill="1" applyBorder="1" applyAlignment="1" applyProtection="1">
      <alignment horizontal="center" vertical="center"/>
      <protection hidden="1"/>
    </xf>
    <xf numFmtId="172" fontId="8" fillId="9" borderId="64" xfId="0" applyNumberFormat="1" applyFont="1" applyFill="1" applyBorder="1" applyProtection="1">
      <protection hidden="1"/>
    </xf>
    <xf numFmtId="172" fontId="8" fillId="9" borderId="50" xfId="0" applyNumberFormat="1" applyFont="1" applyFill="1" applyBorder="1" applyProtection="1">
      <protection hidden="1"/>
    </xf>
    <xf numFmtId="178" fontId="8" fillId="0" borderId="32" xfId="0" applyNumberFormat="1" applyFont="1" applyFill="1" applyBorder="1" applyAlignment="1" applyProtection="1">
      <alignment vertical="center"/>
      <protection locked="0"/>
    </xf>
    <xf numFmtId="0" fontId="8" fillId="9" borderId="32" xfId="0" applyFont="1" applyFill="1" applyBorder="1" applyProtection="1">
      <protection hidden="1"/>
    </xf>
    <xf numFmtId="0" fontId="8" fillId="5" borderId="26" xfId="0" applyFont="1" applyFill="1" applyBorder="1" applyAlignment="1" applyProtection="1">
      <protection hidden="1"/>
    </xf>
    <xf numFmtId="0" fontId="9" fillId="5" borderId="12" xfId="0" applyFont="1" applyFill="1" applyBorder="1" applyAlignment="1" applyProtection="1">
      <alignment horizontal="left" vertical="center" indent="1"/>
      <protection hidden="1"/>
    </xf>
    <xf numFmtId="0" fontId="20" fillId="5" borderId="12" xfId="0" applyFont="1" applyFill="1" applyBorder="1" applyAlignment="1" applyProtection="1">
      <alignment vertical="center"/>
      <protection hidden="1"/>
    </xf>
    <xf numFmtId="165" fontId="20" fillId="5" borderId="18" xfId="0" applyNumberFormat="1" applyFont="1" applyFill="1" applyBorder="1" applyAlignment="1" applyProtection="1">
      <protection hidden="1"/>
    </xf>
    <xf numFmtId="0" fontId="8" fillId="0" borderId="43" xfId="0" applyFont="1" applyFill="1" applyBorder="1" applyAlignment="1" applyProtection="1">
      <alignment horizontal="left" vertical="center" wrapText="1" indent="2"/>
      <protection locked="0"/>
    </xf>
    <xf numFmtId="0" fontId="9" fillId="9" borderId="43" xfId="0" applyFont="1" applyFill="1" applyBorder="1" applyAlignment="1" applyProtection="1">
      <alignment horizontal="left" vertical="center" indent="1"/>
      <protection hidden="1"/>
    </xf>
    <xf numFmtId="0" fontId="9" fillId="9" borderId="18" xfId="0" applyFont="1" applyFill="1" applyBorder="1" applyAlignment="1" applyProtection="1">
      <alignment horizontal="left" vertical="center" indent="1"/>
      <protection hidden="1"/>
    </xf>
    <xf numFmtId="172" fontId="9" fillId="5" borderId="0" xfId="0" applyNumberFormat="1" applyFont="1" applyFill="1" applyBorder="1" applyAlignment="1" applyProtection="1">
      <alignment horizontal="center" vertical="top" wrapText="1"/>
      <protection hidden="1"/>
    </xf>
    <xf numFmtId="0" fontId="15" fillId="9" borderId="64" xfId="0" applyFont="1" applyFill="1" applyBorder="1" applyAlignment="1" applyProtection="1">
      <protection hidden="1"/>
    </xf>
    <xf numFmtId="0" fontId="9" fillId="9" borderId="0" xfId="0" applyNumberFormat="1" applyFont="1" applyFill="1" applyBorder="1" applyAlignment="1" applyProtection="1">
      <alignment vertical="center"/>
      <protection hidden="1"/>
    </xf>
    <xf numFmtId="0" fontId="9" fillId="9" borderId="2" xfId="0" applyNumberFormat="1" applyFont="1" applyFill="1" applyBorder="1" applyAlignment="1" applyProtection="1">
      <alignment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9" fillId="0" borderId="31" xfId="0" applyNumberFormat="1" applyFont="1" applyFill="1" applyBorder="1" applyAlignment="1" applyProtection="1">
      <alignment horizontal="left" vertical="center" indent="1"/>
      <protection hidden="1"/>
    </xf>
    <xf numFmtId="0" fontId="8" fillId="0" borderId="43" xfId="5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8" xfId="5" applyNumberFormat="1" applyFont="1" applyFill="1" applyBorder="1" applyAlignment="1" applyProtection="1">
      <alignment horizontal="left" vertical="center" wrapText="1" indent="1"/>
      <protection locked="0"/>
    </xf>
    <xf numFmtId="172" fontId="9" fillId="5" borderId="11" xfId="0" applyNumberFormat="1" applyFont="1" applyFill="1" applyBorder="1" applyAlignment="1" applyProtection="1">
      <alignment horizontal="center" vertical="center"/>
      <protection hidden="1"/>
    </xf>
    <xf numFmtId="178" fontId="9" fillId="5" borderId="35" xfId="0" applyNumberFormat="1" applyFont="1" applyFill="1" applyBorder="1" applyAlignment="1" applyProtection="1">
      <alignment vertical="center"/>
      <protection hidden="1"/>
    </xf>
    <xf numFmtId="0" fontId="9" fillId="9" borderId="93" xfId="0" applyFont="1" applyFill="1" applyBorder="1" applyAlignment="1" applyProtection="1">
      <alignment horizontal="left" vertical="center" indent="1"/>
      <protection hidden="1"/>
    </xf>
    <xf numFmtId="0" fontId="9" fillId="9" borderId="99" xfId="5" applyFont="1" applyFill="1" applyBorder="1" applyAlignment="1" applyProtection="1">
      <alignment horizontal="left" vertical="center" indent="1"/>
      <protection hidden="1"/>
    </xf>
    <xf numFmtId="180" fontId="18" fillId="5" borderId="16" xfId="0" applyNumberFormat="1" applyFont="1" applyFill="1" applyBorder="1" applyAlignment="1" applyProtection="1">
      <alignment vertical="center"/>
      <protection hidden="1"/>
    </xf>
    <xf numFmtId="180" fontId="18" fillId="5" borderId="79" xfId="0" applyNumberFormat="1" applyFont="1" applyFill="1" applyBorder="1" applyAlignment="1" applyProtection="1">
      <alignment vertical="center"/>
      <protection hidden="1"/>
    </xf>
    <xf numFmtId="0" fontId="15" fillId="10" borderId="9" xfId="0" applyFont="1" applyFill="1" applyBorder="1" applyAlignment="1" applyProtection="1">
      <alignment horizontal="center" vertical="center"/>
      <protection hidden="1"/>
    </xf>
    <xf numFmtId="0" fontId="8" fillId="9" borderId="9" xfId="0" applyFont="1" applyFill="1" applyBorder="1" applyAlignment="1" applyProtection="1">
      <protection hidden="1"/>
    </xf>
    <xf numFmtId="0" fontId="13" fillId="5" borderId="0" xfId="0" applyNumberFormat="1" applyFont="1" applyFill="1" applyAlignment="1" applyProtection="1">
      <protection hidden="1"/>
    </xf>
    <xf numFmtId="0" fontId="8" fillId="9" borderId="100" xfId="0" applyFont="1" applyFill="1" applyBorder="1" applyProtection="1">
      <protection hidden="1"/>
    </xf>
    <xf numFmtId="0" fontId="8" fillId="9" borderId="8" xfId="4" applyFont="1" applyFill="1" applyBorder="1" applyAlignment="1" applyProtection="1">
      <protection hidden="1"/>
    </xf>
    <xf numFmtId="0" fontId="8" fillId="9" borderId="8" xfId="4" applyFont="1" applyFill="1" applyBorder="1" applyProtection="1">
      <protection hidden="1"/>
    </xf>
    <xf numFmtId="172" fontId="9" fillId="5" borderId="0" xfId="4" applyNumberFormat="1" applyFont="1" applyFill="1" applyBorder="1" applyAlignment="1" applyProtection="1">
      <alignment vertical="center"/>
      <protection hidden="1"/>
    </xf>
    <xf numFmtId="172" fontId="9" fillId="5" borderId="0" xfId="4" applyNumberFormat="1" applyFont="1" applyFill="1" applyBorder="1" applyAlignment="1" applyProtection="1">
      <protection hidden="1"/>
    </xf>
    <xf numFmtId="172" fontId="9" fillId="5" borderId="0" xfId="4" applyNumberFormat="1" applyFont="1" applyFill="1" applyBorder="1" applyAlignment="1" applyProtection="1">
      <alignment horizontal="left" vertical="center" indent="1"/>
      <protection hidden="1"/>
    </xf>
    <xf numFmtId="0" fontId="8" fillId="9" borderId="62" xfId="4" applyFont="1" applyFill="1" applyBorder="1" applyProtection="1">
      <protection hidden="1"/>
    </xf>
    <xf numFmtId="0" fontId="8" fillId="5" borderId="100" xfId="4" applyFont="1" applyFill="1" applyBorder="1" applyAlignment="1" applyProtection="1">
      <alignment vertical="top"/>
      <protection hidden="1"/>
    </xf>
    <xf numFmtId="172" fontId="9" fillId="6" borderId="100" xfId="0" applyNumberFormat="1" applyFont="1" applyFill="1" applyBorder="1" applyAlignment="1" applyProtection="1">
      <alignment horizontal="right" vertical="center" indent="1"/>
      <protection hidden="1"/>
    </xf>
    <xf numFmtId="172" fontId="9" fillId="6" borderId="100" xfId="0" applyNumberFormat="1" applyFont="1" applyFill="1" applyBorder="1" applyAlignment="1" applyProtection="1">
      <alignment vertical="center" wrapText="1"/>
      <protection hidden="1"/>
    </xf>
    <xf numFmtId="0" fontId="8" fillId="5" borderId="100" xfId="4" applyFont="1" applyFill="1" applyBorder="1" applyAlignment="1" applyProtection="1">
      <protection hidden="1"/>
    </xf>
    <xf numFmtId="0" fontId="19" fillId="6" borderId="100" xfId="0" applyFont="1" applyFill="1" applyBorder="1" applyAlignment="1" applyProtection="1">
      <protection hidden="1"/>
    </xf>
    <xf numFmtId="0" fontId="13" fillId="6" borderId="100" xfId="0" applyFont="1" applyFill="1" applyBorder="1" applyAlignment="1" applyProtection="1">
      <alignment vertical="center"/>
      <protection hidden="1"/>
    </xf>
    <xf numFmtId="0" fontId="8" fillId="5" borderId="100" xfId="4" applyFont="1" applyFill="1" applyBorder="1" applyProtection="1">
      <protection hidden="1"/>
    </xf>
    <xf numFmtId="0" fontId="13" fillId="6" borderId="100" xfId="0" applyFont="1" applyFill="1" applyBorder="1" applyAlignment="1" applyProtection="1">
      <protection hidden="1"/>
    </xf>
    <xf numFmtId="0" fontId="8" fillId="7" borderId="100" xfId="4" applyFont="1" applyFill="1" applyBorder="1" applyProtection="1">
      <protection hidden="1"/>
    </xf>
    <xf numFmtId="172" fontId="8" fillId="5" borderId="100" xfId="7" applyNumberFormat="1" applyFont="1" applyFill="1" applyBorder="1" applyAlignment="1" applyProtection="1">
      <alignment vertical="center"/>
      <protection hidden="1"/>
    </xf>
    <xf numFmtId="0" fontId="8" fillId="5" borderId="42" xfId="4" applyFont="1" applyFill="1" applyBorder="1" applyProtection="1">
      <protection hidden="1"/>
    </xf>
    <xf numFmtId="0" fontId="8" fillId="7" borderId="62" xfId="4" applyFont="1" applyFill="1" applyBorder="1" applyProtection="1">
      <protection hidden="1"/>
    </xf>
    <xf numFmtId="0" fontId="8" fillId="7" borderId="42" xfId="4" applyFont="1" applyFill="1" applyBorder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9" fillId="2" borderId="10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right" vertical="center"/>
      <protection hidden="1"/>
    </xf>
    <xf numFmtId="0" fontId="8" fillId="9" borderId="44" xfId="0" applyFont="1" applyFill="1" applyBorder="1" applyProtection="1">
      <protection hidden="1"/>
    </xf>
    <xf numFmtId="0" fontId="8" fillId="4" borderId="26" xfId="0" applyFont="1" applyFill="1" applyBorder="1" applyAlignment="1" applyProtection="1">
      <protection hidden="1"/>
    </xf>
    <xf numFmtId="0" fontId="8" fillId="4" borderId="12" xfId="0" applyFont="1" applyFill="1" applyBorder="1" applyAlignment="1" applyProtection="1">
      <protection hidden="1"/>
    </xf>
    <xf numFmtId="0" fontId="8" fillId="4" borderId="12" xfId="0" applyFont="1" applyFill="1" applyBorder="1" applyAlignment="1" applyProtection="1">
      <alignment vertical="center" wrapText="1"/>
      <protection hidden="1"/>
    </xf>
    <xf numFmtId="0" fontId="9" fillId="4" borderId="12" xfId="0" applyFont="1" applyFill="1" applyBorder="1" applyAlignment="1" applyProtection="1">
      <protection hidden="1"/>
    </xf>
    <xf numFmtId="0" fontId="9" fillId="4" borderId="18" xfId="0" applyFont="1" applyFill="1" applyBorder="1" applyAlignment="1" applyProtection="1">
      <protection hidden="1"/>
    </xf>
    <xf numFmtId="0" fontId="9" fillId="4" borderId="12" xfId="0" applyFont="1" applyFill="1" applyBorder="1" applyAlignment="1" applyProtection="1">
      <alignment horizontal="left" vertical="center" indent="1"/>
      <protection hidden="1"/>
    </xf>
    <xf numFmtId="0" fontId="9" fillId="4" borderId="12" xfId="0" applyFont="1" applyFill="1" applyBorder="1" applyAlignment="1" applyProtection="1">
      <alignment horizontal="left" vertical="center" indent="2"/>
      <protection hidden="1"/>
    </xf>
    <xf numFmtId="0" fontId="8" fillId="4" borderId="12" xfId="0" applyFont="1" applyFill="1" applyBorder="1" applyAlignment="1" applyProtection="1">
      <alignment horizontal="left" vertical="center" indent="3"/>
      <protection hidden="1"/>
    </xf>
    <xf numFmtId="0" fontId="9" fillId="4" borderId="12" xfId="0" applyFont="1" applyFill="1" applyBorder="1" applyAlignment="1" applyProtection="1">
      <alignment horizontal="left" vertical="center" indent="3"/>
      <protection hidden="1"/>
    </xf>
    <xf numFmtId="0" fontId="8" fillId="4" borderId="12" xfId="0" applyFont="1" applyFill="1" applyBorder="1" applyAlignment="1" applyProtection="1">
      <alignment horizontal="left" vertical="center" wrapText="1" indent="4"/>
      <protection hidden="1"/>
    </xf>
    <xf numFmtId="0" fontId="9" fillId="4" borderId="18" xfId="0" applyFont="1" applyFill="1" applyBorder="1" applyAlignment="1" applyProtection="1">
      <alignment horizontal="left" vertical="center" indent="2"/>
      <protection hidden="1"/>
    </xf>
    <xf numFmtId="0" fontId="8" fillId="4" borderId="58" xfId="0" applyFont="1" applyFill="1" applyBorder="1" applyAlignment="1" applyProtection="1">
      <protection hidden="1"/>
    </xf>
    <xf numFmtId="0" fontId="14" fillId="4" borderId="0" xfId="0" applyFont="1" applyFill="1" applyBorder="1" applyProtection="1"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9" fillId="3" borderId="0" xfId="9" applyFont="1" applyFill="1" applyBorder="1" applyProtection="1">
      <protection hidden="1"/>
    </xf>
    <xf numFmtId="0" fontId="9" fillId="4" borderId="0" xfId="0" applyFont="1" applyFill="1" applyBorder="1" applyAlignment="1" applyProtection="1">
      <alignment horizontal="left" vertical="center" indent="1"/>
      <protection hidden="1"/>
    </xf>
    <xf numFmtId="0" fontId="9" fillId="4" borderId="60" xfId="0" applyFont="1" applyFill="1" applyBorder="1" applyAlignment="1" applyProtection="1">
      <alignment horizontal="left" vertical="center" indent="1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9" fillId="4" borderId="6" xfId="0" applyFont="1" applyFill="1" applyBorder="1" applyAlignment="1" applyProtection="1">
      <alignment horizontal="left" vertical="center" indent="1"/>
      <protection hidden="1"/>
    </xf>
    <xf numFmtId="0" fontId="8" fillId="4" borderId="6" xfId="0" applyFont="1" applyFill="1" applyBorder="1" applyAlignment="1" applyProtection="1">
      <alignment vertical="center"/>
      <protection hidden="1"/>
    </xf>
    <xf numFmtId="0" fontId="8" fillId="4" borderId="15" xfId="0" applyFont="1" applyFill="1" applyBorder="1" applyAlignment="1" applyProtection="1">
      <alignment vertical="center"/>
      <protection hidden="1"/>
    </xf>
    <xf numFmtId="0" fontId="8" fillId="4" borderId="6" xfId="0" applyFont="1" applyFill="1" applyBorder="1" applyAlignment="1" applyProtection="1">
      <alignment horizontal="left" vertical="center" indent="2"/>
      <protection hidden="1"/>
    </xf>
    <xf numFmtId="0" fontId="9" fillId="4" borderId="65" xfId="0" applyFont="1" applyFill="1" applyBorder="1" applyAlignment="1" applyProtection="1">
      <alignment horizontal="left" vertical="center" indent="1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protection hidden="1"/>
    </xf>
    <xf numFmtId="0" fontId="8" fillId="5" borderId="24" xfId="0" applyFont="1" applyFill="1" applyBorder="1" applyProtection="1">
      <protection hidden="1"/>
    </xf>
    <xf numFmtId="0" fontId="9" fillId="4" borderId="6" xfId="0" applyFont="1" applyFill="1" applyBorder="1" applyAlignment="1" applyProtection="1">
      <alignment horizontal="left" vertical="center" wrapText="1" indent="1"/>
      <protection hidden="1"/>
    </xf>
    <xf numFmtId="0" fontId="8" fillId="5" borderId="6" xfId="0" applyFont="1" applyFill="1" applyBorder="1" applyProtection="1">
      <protection hidden="1"/>
    </xf>
    <xf numFmtId="0" fontId="8" fillId="4" borderId="6" xfId="0" applyFont="1" applyFill="1" applyBorder="1" applyAlignment="1" applyProtection="1">
      <protection hidden="1"/>
    </xf>
    <xf numFmtId="0" fontId="8" fillId="4" borderId="15" xfId="0" applyFont="1" applyFill="1" applyBorder="1" applyAlignment="1" applyProtection="1">
      <protection hidden="1"/>
    </xf>
    <xf numFmtId="0" fontId="8" fillId="4" borderId="6" xfId="0" applyFont="1" applyFill="1" applyBorder="1" applyAlignment="1" applyProtection="1">
      <alignment horizontal="left" vertical="center" indent="1"/>
      <protection hidden="1"/>
    </xf>
    <xf numFmtId="0" fontId="8" fillId="4" borderId="30" xfId="0" applyFont="1" applyFill="1" applyBorder="1" applyAlignment="1" applyProtection="1">
      <alignment horizontal="left" vertical="center" indent="1"/>
      <protection hidden="1"/>
    </xf>
    <xf numFmtId="0" fontId="9" fillId="5" borderId="15" xfId="0" applyFont="1" applyFill="1" applyBorder="1" applyAlignment="1" applyProtection="1">
      <alignment horizontal="left" vertical="center" wrapText="1" indent="1"/>
      <protection hidden="1"/>
    </xf>
    <xf numFmtId="0" fontId="8" fillId="9" borderId="0" xfId="9" applyFont="1" applyFill="1" applyProtection="1"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0" fontId="9" fillId="3" borderId="0" xfId="9" applyFont="1" applyFill="1" applyBorder="1" applyAlignment="1" applyProtection="1">
      <alignment horizontal="left"/>
      <protection hidden="1"/>
    </xf>
    <xf numFmtId="0" fontId="9" fillId="3" borderId="0" xfId="9" applyFont="1" applyFill="1" applyBorder="1" applyAlignment="1" applyProtection="1">
      <alignment horizontal="left" vertical="center" indent="1"/>
      <protection hidden="1"/>
    </xf>
    <xf numFmtId="0" fontId="8" fillId="9" borderId="9" xfId="9" applyFont="1" applyFill="1" applyBorder="1" applyProtection="1">
      <protection hidden="1"/>
    </xf>
    <xf numFmtId="0" fontId="8" fillId="9" borderId="9" xfId="9" applyFont="1" applyFill="1" applyBorder="1" applyAlignment="1" applyProtection="1">
      <alignment vertical="center"/>
      <protection hidden="1"/>
    </xf>
    <xf numFmtId="0" fontId="8" fillId="9" borderId="44" xfId="9" applyFont="1" applyFill="1" applyBorder="1" applyAlignment="1" applyProtection="1">
      <alignment vertical="top"/>
      <protection hidden="1"/>
    </xf>
    <xf numFmtId="0" fontId="8" fillId="9" borderId="62" xfId="9" applyFont="1" applyFill="1" applyBorder="1" applyAlignment="1" applyProtection="1">
      <alignment vertical="center"/>
      <protection hidden="1"/>
    </xf>
    <xf numFmtId="0" fontId="9" fillId="3" borderId="100" xfId="9" applyFont="1" applyFill="1" applyBorder="1" applyAlignment="1" applyProtection="1">
      <alignment horizontal="center" vertical="top"/>
      <protection hidden="1"/>
    </xf>
    <xf numFmtId="0" fontId="9" fillId="3" borderId="100" xfId="9" applyFont="1" applyFill="1" applyBorder="1" applyAlignment="1" applyProtection="1">
      <alignment horizontal="center" vertical="center"/>
      <protection hidden="1"/>
    </xf>
    <xf numFmtId="172" fontId="9" fillId="2" borderId="100" xfId="0" applyNumberFormat="1" applyFont="1" applyFill="1" applyBorder="1" applyAlignment="1" applyProtection="1">
      <alignment horizontal="center" vertical="top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 applyProtection="1">
      <alignment horizontal="left" indent="1"/>
      <protection hidden="1"/>
    </xf>
    <xf numFmtId="0" fontId="9" fillId="5" borderId="15" xfId="0" applyFont="1" applyFill="1" applyBorder="1" applyAlignment="1" applyProtection="1">
      <alignment horizontal="left" vertical="center" wrapText="1" indent="2"/>
      <protection hidden="1"/>
    </xf>
    <xf numFmtId="0" fontId="9" fillId="4" borderId="0" xfId="0" applyFont="1" applyFill="1" applyBorder="1" applyAlignment="1" applyProtection="1">
      <alignment horizontal="left" vertical="center"/>
      <protection hidden="1"/>
    </xf>
    <xf numFmtId="0" fontId="9" fillId="9" borderId="0" xfId="0" applyFont="1" applyFill="1" applyBorder="1" applyProtection="1">
      <protection hidden="1"/>
    </xf>
    <xf numFmtId="0" fontId="8" fillId="10" borderId="0" xfId="0" applyFont="1" applyFill="1" applyBorder="1" applyAlignment="1" applyProtection="1">
      <protection hidden="1"/>
    </xf>
    <xf numFmtId="0" fontId="8" fillId="10" borderId="60" xfId="0" applyFont="1" applyFill="1" applyBorder="1" applyAlignment="1" applyProtection="1">
      <protection hidden="1"/>
    </xf>
    <xf numFmtId="0" fontId="8" fillId="9" borderId="44" xfId="0" applyFont="1" applyFill="1" applyBorder="1" applyAlignment="1" applyProtection="1">
      <alignment vertical="center"/>
      <protection hidden="1"/>
    </xf>
    <xf numFmtId="0" fontId="8" fillId="9" borderId="0" xfId="0" applyFont="1" applyFill="1" applyAlignment="1" applyProtection="1">
      <protection hidden="1"/>
    </xf>
    <xf numFmtId="0" fontId="26" fillId="9" borderId="0" xfId="0" applyFont="1" applyFill="1" applyAlignment="1" applyProtection="1">
      <alignment vertical="center"/>
      <protection hidden="1"/>
    </xf>
    <xf numFmtId="0" fontId="8" fillId="10" borderId="58" xfId="0" applyFont="1" applyFill="1" applyBorder="1" applyAlignment="1" applyProtection="1">
      <protection hidden="1"/>
    </xf>
    <xf numFmtId="0" fontId="13" fillId="9" borderId="64" xfId="0" applyFont="1" applyFill="1" applyBorder="1" applyAlignment="1" applyProtection="1">
      <protection hidden="1"/>
    </xf>
    <xf numFmtId="0" fontId="8" fillId="9" borderId="102" xfId="0" applyFont="1" applyFill="1" applyBorder="1" applyAlignment="1" applyProtection="1">
      <alignment vertical="center"/>
      <protection hidden="1"/>
    </xf>
    <xf numFmtId="0" fontId="8" fillId="9" borderId="102" xfId="0" applyFont="1" applyFill="1" applyBorder="1" applyProtection="1">
      <protection hidden="1"/>
    </xf>
    <xf numFmtId="0" fontId="8" fillId="9" borderId="102" xfId="0" applyFont="1" applyFill="1" applyBorder="1" applyAlignment="1" applyProtection="1">
      <protection hidden="1"/>
    </xf>
    <xf numFmtId="0" fontId="13" fillId="5" borderId="64" xfId="0" applyFont="1" applyFill="1" applyBorder="1" applyAlignment="1" applyProtection="1">
      <alignment vertical="center"/>
      <protection hidden="1"/>
    </xf>
    <xf numFmtId="0" fontId="8" fillId="4" borderId="55" xfId="0" applyFont="1" applyFill="1" applyBorder="1" applyAlignment="1" applyProtection="1">
      <alignment horizontal="left" vertical="center" indent="1"/>
      <protection hidden="1"/>
    </xf>
    <xf numFmtId="0" fontId="9" fillId="4" borderId="10" xfId="0" applyFont="1" applyFill="1" applyBorder="1" applyAlignment="1" applyProtection="1">
      <alignment horizontal="left" vertical="center" indent="1"/>
      <protection hidden="1"/>
    </xf>
    <xf numFmtId="0" fontId="9" fillId="4" borderId="2" xfId="0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left"/>
      <protection hidden="1"/>
    </xf>
    <xf numFmtId="0" fontId="9" fillId="4" borderId="11" xfId="0" applyFont="1" applyFill="1" applyBorder="1" applyAlignment="1" applyProtection="1">
      <alignment horizontal="center" vertical="top" wrapText="1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vertical="center"/>
      <protection hidden="1"/>
    </xf>
    <xf numFmtId="0" fontId="8" fillId="4" borderId="34" xfId="0" applyFont="1" applyFill="1" applyBorder="1" applyAlignment="1" applyProtection="1">
      <alignment vertical="center"/>
      <protection hidden="1"/>
    </xf>
    <xf numFmtId="0" fontId="8" fillId="4" borderId="10" xfId="0" applyFont="1" applyFill="1" applyBorder="1" applyAlignment="1" applyProtection="1">
      <alignment horizontal="left" vertical="center" indent="1"/>
      <protection hidden="1"/>
    </xf>
    <xf numFmtId="0" fontId="8" fillId="4" borderId="39" xfId="0" applyFont="1" applyFill="1" applyBorder="1" applyAlignment="1" applyProtection="1">
      <alignment horizontal="left" vertical="center" indent="1"/>
      <protection hidden="1"/>
    </xf>
    <xf numFmtId="0" fontId="9" fillId="4" borderId="34" xfId="0" applyFont="1" applyFill="1" applyBorder="1" applyAlignment="1" applyProtection="1">
      <alignment horizontal="left" vertical="center" indent="1"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hidden="1"/>
    </xf>
    <xf numFmtId="0" fontId="9" fillId="4" borderId="72" xfId="0" applyFont="1" applyFill="1" applyBorder="1" applyAlignment="1" applyProtection="1">
      <alignment horizontal="center" vertical="top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170" fontId="8" fillId="13" borderId="6" xfId="0" applyNumberFormat="1" applyFont="1" applyFill="1" applyBorder="1" applyAlignment="1" applyProtection="1">
      <alignment vertical="center"/>
      <protection hidden="1"/>
    </xf>
    <xf numFmtId="167" fontId="8" fillId="13" borderId="31" xfId="0" applyNumberFormat="1" applyFont="1" applyFill="1" applyBorder="1" applyAlignment="1" applyProtection="1">
      <alignment vertical="center"/>
      <protection hidden="1"/>
    </xf>
    <xf numFmtId="170" fontId="8" fillId="13" borderId="32" xfId="0" applyNumberFormat="1" applyFont="1" applyFill="1" applyBorder="1" applyAlignment="1" applyProtection="1">
      <alignment vertical="center"/>
      <protection hidden="1"/>
    </xf>
    <xf numFmtId="167" fontId="8" fillId="13" borderId="101" xfId="0" applyNumberFormat="1" applyFont="1" applyFill="1" applyBorder="1" applyAlignment="1" applyProtection="1">
      <alignment vertical="center"/>
      <protection hidden="1"/>
    </xf>
    <xf numFmtId="170" fontId="8" fillId="13" borderId="31" xfId="0" applyNumberFormat="1" applyFont="1" applyFill="1" applyBorder="1" applyAlignment="1" applyProtection="1">
      <alignment vertical="center"/>
      <protection hidden="1"/>
    </xf>
    <xf numFmtId="170" fontId="8" fillId="13" borderId="50" xfId="0" applyNumberFormat="1" applyFont="1" applyFill="1" applyBorder="1" applyAlignment="1" applyProtection="1">
      <alignment vertical="center"/>
      <protection hidden="1"/>
    </xf>
    <xf numFmtId="180" fontId="9" fillId="14" borderId="31" xfId="0" applyNumberFormat="1" applyFont="1" applyFill="1" applyBorder="1" applyAlignment="1" applyProtection="1">
      <alignment vertical="center"/>
      <protection hidden="1"/>
    </xf>
    <xf numFmtId="181" fontId="9" fillId="14" borderId="31" xfId="0" applyNumberFormat="1" applyFont="1" applyFill="1" applyBorder="1" applyAlignment="1" applyProtection="1">
      <alignment vertical="center"/>
      <protection hidden="1"/>
    </xf>
    <xf numFmtId="181" fontId="9" fillId="14" borderId="33" xfId="0" applyNumberFormat="1" applyFont="1" applyFill="1" applyBorder="1" applyAlignment="1" applyProtection="1">
      <alignment vertical="center"/>
      <protection hidden="1"/>
    </xf>
    <xf numFmtId="0" fontId="9" fillId="4" borderId="95" xfId="0" applyFont="1" applyFill="1" applyBorder="1" applyAlignment="1" applyProtection="1">
      <alignment horizontal="center" vertical="top" wrapText="1"/>
      <protection hidden="1"/>
    </xf>
    <xf numFmtId="170" fontId="8" fillId="13" borderId="30" xfId="0" applyNumberFormat="1" applyFont="1" applyFill="1" applyBorder="1" applyAlignment="1" applyProtection="1">
      <alignment vertical="center"/>
      <protection hidden="1"/>
    </xf>
    <xf numFmtId="180" fontId="9" fillId="9" borderId="18" xfId="0" applyNumberFormat="1" applyFont="1" applyFill="1" applyBorder="1" applyAlignment="1" applyProtection="1">
      <alignment vertical="center"/>
      <protection hidden="1"/>
    </xf>
    <xf numFmtId="180" fontId="9" fillId="9" borderId="93" xfId="0" applyNumberFormat="1" applyFont="1" applyFill="1" applyBorder="1" applyAlignment="1" applyProtection="1">
      <alignment vertical="center"/>
      <protection hidden="1"/>
    </xf>
    <xf numFmtId="180" fontId="8" fillId="9" borderId="63" xfId="0" applyNumberFormat="1" applyFont="1" applyFill="1" applyBorder="1" applyAlignment="1" applyProtection="1">
      <alignment vertical="center"/>
      <protection hidden="1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43" xfId="0" applyNumberFormat="1" applyFont="1" applyFill="1" applyBorder="1" applyAlignment="1" applyProtection="1">
      <alignment vertical="center"/>
      <protection locked="0"/>
    </xf>
    <xf numFmtId="178" fontId="8" fillId="0" borderId="7" xfId="0" applyNumberFormat="1" applyFont="1" applyFill="1" applyBorder="1" applyAlignment="1" applyProtection="1">
      <alignment vertical="center"/>
      <protection locked="0"/>
    </xf>
    <xf numFmtId="178" fontId="8" fillId="0" borderId="2" xfId="0" applyNumberFormat="1" applyFont="1" applyFill="1" applyBorder="1" applyAlignment="1" applyProtection="1">
      <alignment vertical="center"/>
      <protection locked="0"/>
    </xf>
    <xf numFmtId="178" fontId="8" fillId="0" borderId="102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8" fontId="8" fillId="15" borderId="7" xfId="0" applyNumberFormat="1" applyFont="1" applyFill="1" applyBorder="1" applyAlignment="1" applyProtection="1">
      <alignment vertical="center"/>
      <protection locked="0"/>
    </xf>
    <xf numFmtId="178" fontId="8" fillId="15" borderId="8" xfId="0" applyNumberFormat="1" applyFont="1" applyFill="1" applyBorder="1" applyAlignment="1" applyProtection="1">
      <alignment vertical="center"/>
      <protection locked="0"/>
    </xf>
    <xf numFmtId="178" fontId="8" fillId="15" borderId="31" xfId="0" applyNumberFormat="1" applyFont="1" applyFill="1" applyBorder="1" applyAlignment="1" applyProtection="1">
      <alignment vertical="center"/>
      <protection locked="0"/>
    </xf>
    <xf numFmtId="178" fontId="8" fillId="15" borderId="33" xfId="0" applyNumberFormat="1" applyFont="1" applyFill="1" applyBorder="1" applyAlignment="1" applyProtection="1">
      <alignment vertical="center"/>
      <protection locked="0"/>
    </xf>
    <xf numFmtId="178" fontId="8" fillId="16" borderId="11" xfId="0" applyNumberFormat="1" applyFont="1" applyFill="1" applyBorder="1" applyAlignment="1" applyProtection="1">
      <alignment vertical="center"/>
      <protection hidden="1"/>
    </xf>
    <xf numFmtId="178" fontId="8" fillId="9" borderId="92" xfId="0" applyNumberFormat="1" applyFont="1" applyFill="1" applyBorder="1" applyAlignment="1" applyProtection="1">
      <alignment vertical="center"/>
      <protection hidden="1"/>
    </xf>
    <xf numFmtId="0" fontId="15" fillId="5" borderId="102" xfId="0" applyFont="1" applyFill="1" applyBorder="1" applyAlignment="1" applyProtection="1">
      <alignment horizontal="center" vertical="center"/>
      <protection hidden="1"/>
    </xf>
    <xf numFmtId="181" fontId="9" fillId="8" borderId="18" xfId="0" applyNumberFormat="1" applyFont="1" applyFill="1" applyBorder="1" applyAlignment="1" applyProtection="1">
      <alignment vertical="center"/>
      <protection hidden="1"/>
    </xf>
    <xf numFmtId="180" fontId="9" fillId="8" borderId="26" xfId="0" applyNumberFormat="1" applyFont="1" applyFill="1" applyBorder="1" applyAlignment="1" applyProtection="1">
      <alignment vertical="center"/>
      <protection hidden="1"/>
    </xf>
    <xf numFmtId="180" fontId="9" fillId="8" borderId="43" xfId="0" applyNumberFormat="1" applyFont="1" applyFill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horizontal="left" indent="2"/>
      <protection hidden="1"/>
    </xf>
    <xf numFmtId="0" fontId="9" fillId="4" borderId="2" xfId="0" applyFont="1" applyFill="1" applyBorder="1" applyAlignment="1" applyProtection="1">
      <alignment vertical="center"/>
      <protection hidden="1"/>
    </xf>
    <xf numFmtId="0" fontId="9" fillId="5" borderId="2" xfId="0" quotePrefix="1" applyFont="1" applyFill="1" applyBorder="1" applyAlignment="1" applyProtection="1">
      <alignment horizontal="center" vertical="center" wrapText="1"/>
      <protection hidden="1"/>
    </xf>
    <xf numFmtId="181" fontId="9" fillId="8" borderId="2" xfId="0" applyNumberFormat="1" applyFont="1" applyFill="1" applyBorder="1" applyAlignment="1" applyProtection="1">
      <alignment vertical="center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top" wrapText="1"/>
      <protection hidden="1"/>
    </xf>
    <xf numFmtId="0" fontId="8" fillId="4" borderId="60" xfId="0" applyFont="1" applyFill="1" applyBorder="1" applyAlignment="1" applyProtection="1">
      <protection hidden="1"/>
    </xf>
    <xf numFmtId="178" fontId="8" fillId="9" borderId="63" xfId="0" applyNumberFormat="1" applyFont="1" applyFill="1" applyBorder="1" applyAlignment="1" applyProtection="1">
      <alignment vertical="center"/>
      <protection hidden="1"/>
    </xf>
    <xf numFmtId="0" fontId="8" fillId="9" borderId="10" xfId="0" applyFont="1" applyFill="1" applyBorder="1" applyProtection="1">
      <protection hidden="1"/>
    </xf>
    <xf numFmtId="0" fontId="8" fillId="9" borderId="11" xfId="0" applyFont="1" applyFill="1" applyBorder="1" applyProtection="1">
      <protection hidden="1"/>
    </xf>
    <xf numFmtId="0" fontId="9" fillId="9" borderId="3" xfId="0" applyFont="1" applyFill="1" applyBorder="1" applyAlignment="1" applyProtection="1">
      <alignment horizontal="center" vertical="top" wrapText="1"/>
      <protection hidden="1"/>
    </xf>
    <xf numFmtId="0" fontId="9" fillId="9" borderId="45" xfId="0" applyFont="1" applyFill="1" applyBorder="1" applyAlignment="1" applyProtection="1">
      <alignment horizontal="center" vertical="top" wrapText="1"/>
      <protection hidden="1"/>
    </xf>
    <xf numFmtId="178" fontId="16" fillId="8" borderId="11" xfId="0" applyNumberFormat="1" applyFont="1" applyFill="1" applyBorder="1" applyAlignment="1" applyProtection="1">
      <alignment vertical="center"/>
      <protection hidden="1"/>
    </xf>
    <xf numFmtId="178" fontId="16" fillId="16" borderId="11" xfId="0" applyNumberFormat="1" applyFont="1" applyFill="1" applyBorder="1" applyAlignment="1" applyProtection="1">
      <alignment vertical="center"/>
      <protection hidden="1"/>
    </xf>
    <xf numFmtId="178" fontId="16" fillId="16" borderId="12" xfId="0" applyNumberFormat="1" applyFont="1" applyFill="1" applyBorder="1" applyAlignment="1" applyProtection="1">
      <alignment vertical="center"/>
      <protection hidden="1"/>
    </xf>
    <xf numFmtId="178" fontId="16" fillId="16" borderId="38" xfId="0" applyNumberFormat="1" applyFont="1" applyFill="1" applyBorder="1" applyAlignment="1" applyProtection="1">
      <alignment vertical="center"/>
      <protection hidden="1"/>
    </xf>
    <xf numFmtId="186" fontId="8" fillId="9" borderId="49" xfId="0" applyNumberFormat="1" applyFont="1" applyFill="1" applyBorder="1" applyAlignment="1" applyProtection="1">
      <alignment vertical="center"/>
      <protection hidden="1"/>
    </xf>
    <xf numFmtId="2" fontId="8" fillId="9" borderId="53" xfId="0" applyNumberFormat="1" applyFont="1" applyFill="1" applyBorder="1" applyAlignment="1" applyProtection="1">
      <alignment horizontal="center" vertical="center"/>
      <protection hidden="1"/>
    </xf>
    <xf numFmtId="172" fontId="8" fillId="9" borderId="0" xfId="4" applyNumberFormat="1" applyFont="1" applyFill="1" applyBorder="1" applyAlignment="1" applyProtection="1">
      <alignment vertical="center"/>
      <protection hidden="1"/>
    </xf>
    <xf numFmtId="0" fontId="9" fillId="9" borderId="30" xfId="0" applyFont="1" applyFill="1" applyBorder="1" applyAlignment="1" applyProtection="1">
      <alignment horizontal="center" vertical="top" wrapText="1"/>
      <protection hidden="1"/>
    </xf>
    <xf numFmtId="0" fontId="9" fillId="9" borderId="101" xfId="0" applyFont="1" applyFill="1" applyBorder="1" applyAlignment="1" applyProtection="1">
      <alignment horizontal="left" vertical="top" indent="1"/>
      <protection hidden="1"/>
    </xf>
    <xf numFmtId="172" fontId="9" fillId="9" borderId="0" xfId="4" applyNumberFormat="1" applyFont="1" applyFill="1" applyBorder="1" applyAlignment="1" applyProtection="1">
      <alignment vertical="center"/>
      <protection hidden="1"/>
    </xf>
    <xf numFmtId="0" fontId="8" fillId="9" borderId="44" xfId="0" applyNumberFormat="1" applyFont="1" applyFill="1" applyBorder="1" applyProtection="1">
      <protection hidden="1"/>
    </xf>
    <xf numFmtId="0" fontId="9" fillId="9" borderId="65" xfId="0" applyFont="1" applyFill="1" applyBorder="1" applyProtection="1">
      <protection hidden="1"/>
    </xf>
    <xf numFmtId="0" fontId="8" fillId="9" borderId="65" xfId="0" applyFont="1" applyFill="1" applyBorder="1" applyProtection="1">
      <protection hidden="1"/>
    </xf>
    <xf numFmtId="0" fontId="8" fillId="9" borderId="1" xfId="0" applyFont="1" applyFill="1" applyBorder="1" applyProtection="1">
      <protection hidden="1"/>
    </xf>
    <xf numFmtId="0" fontId="8" fillId="9" borderId="102" xfId="0" applyNumberFormat="1" applyFont="1" applyFill="1" applyBorder="1" applyProtection="1">
      <protection hidden="1"/>
    </xf>
    <xf numFmtId="172" fontId="8" fillId="9" borderId="100" xfId="4" applyNumberFormat="1" applyFont="1" applyFill="1" applyBorder="1" applyAlignment="1" applyProtection="1">
      <alignment vertical="center"/>
      <protection hidden="1"/>
    </xf>
    <xf numFmtId="172" fontId="9" fillId="9" borderId="100" xfId="4" applyNumberFormat="1" applyFont="1" applyFill="1" applyBorder="1" applyAlignment="1" applyProtection="1">
      <alignment vertical="center"/>
      <protection hidden="1"/>
    </xf>
    <xf numFmtId="0" fontId="8" fillId="9" borderId="62" xfId="0" applyNumberFormat="1" applyFont="1" applyFill="1" applyBorder="1" applyProtection="1">
      <protection hidden="1"/>
    </xf>
    <xf numFmtId="0" fontId="8" fillId="9" borderId="100" xfId="0" applyFont="1" applyFill="1" applyBorder="1" applyAlignment="1" applyProtection="1">
      <alignment horizontal="center" vertical="center"/>
      <protection hidden="1"/>
    </xf>
    <xf numFmtId="0" fontId="28" fillId="9" borderId="35" xfId="0" applyFont="1" applyFill="1" applyBorder="1" applyAlignment="1" applyProtection="1">
      <alignment horizontal="center" vertical="center"/>
      <protection hidden="1"/>
    </xf>
    <xf numFmtId="0" fontId="27" fillId="9" borderId="32" xfId="0" applyFont="1" applyFill="1" applyBorder="1" applyAlignment="1" applyProtection="1">
      <alignment horizontal="left" vertical="center" indent="1"/>
      <protection hidden="1"/>
    </xf>
    <xf numFmtId="0" fontId="29" fillId="0" borderId="1" xfId="0" applyFont="1" applyFill="1" applyBorder="1" applyAlignment="1" applyProtection="1">
      <alignment horizontal="left" vertical="center" indent="1"/>
      <protection hidden="1"/>
    </xf>
    <xf numFmtId="0" fontId="27" fillId="9" borderId="1" xfId="0" applyFont="1" applyFill="1" applyBorder="1" applyAlignment="1" applyProtection="1">
      <alignment horizontal="left" vertical="center" indent="1"/>
      <protection hidden="1"/>
    </xf>
    <xf numFmtId="0" fontId="28" fillId="9" borderId="45" xfId="0" applyFont="1" applyFill="1" applyBorder="1" applyAlignment="1" applyProtection="1">
      <alignment horizontal="center" vertical="center"/>
      <protection hidden="1"/>
    </xf>
    <xf numFmtId="0" fontId="27" fillId="9" borderId="103" xfId="0" applyFont="1" applyFill="1" applyBorder="1" applyAlignment="1" applyProtection="1">
      <alignment horizontal="left" vertical="center" indent="1"/>
      <protection hidden="1"/>
    </xf>
    <xf numFmtId="0" fontId="29" fillId="9" borderId="104" xfId="0" applyFont="1" applyFill="1" applyBorder="1" applyAlignment="1" applyProtection="1">
      <alignment horizontal="left" vertical="center" indent="1"/>
      <protection hidden="1"/>
    </xf>
    <xf numFmtId="0" fontId="29" fillId="9" borderId="105" xfId="0" applyFont="1" applyFill="1" applyBorder="1" applyAlignment="1" applyProtection="1">
      <alignment horizontal="center" vertical="center"/>
      <protection hidden="1"/>
    </xf>
    <xf numFmtId="0" fontId="16" fillId="9" borderId="10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9" fillId="4" borderId="26" xfId="0" applyFont="1" applyFill="1" applyBorder="1" applyAlignment="1" applyProtection="1">
      <alignment horizontal="center" vertical="center" wrapText="1"/>
      <protection hidden="1"/>
    </xf>
    <xf numFmtId="0" fontId="9" fillId="2" borderId="45" xfId="0" applyFont="1" applyFill="1" applyBorder="1" applyAlignment="1" applyProtection="1">
      <alignment horizontal="center" vertical="center" wrapText="1"/>
      <protection hidden="1"/>
    </xf>
    <xf numFmtId="0" fontId="8" fillId="5" borderId="100" xfId="0" applyNumberFormat="1" applyFont="1" applyFill="1" applyBorder="1" applyAlignment="1" applyProtection="1">
      <protection hidden="1"/>
    </xf>
    <xf numFmtId="0" fontId="13" fillId="5" borderId="21" xfId="0" applyNumberFormat="1" applyFont="1" applyFill="1" applyBorder="1" applyAlignment="1" applyProtection="1">
      <protection hidden="1"/>
    </xf>
    <xf numFmtId="0" fontId="13" fillId="5" borderId="58" xfId="0" applyNumberFormat="1" applyFont="1" applyFill="1" applyBorder="1" applyAlignment="1" applyProtection="1">
      <protection hidden="1"/>
    </xf>
    <xf numFmtId="172" fontId="9" fillId="5" borderId="100" xfId="0" applyNumberFormat="1" applyFont="1" applyFill="1" applyBorder="1" applyAlignment="1" applyProtection="1">
      <alignment horizontal="center" vertical="center"/>
      <protection hidden="1"/>
    </xf>
    <xf numFmtId="172" fontId="9" fillId="5" borderId="25" xfId="0" applyNumberFormat="1" applyFont="1" applyFill="1" applyBorder="1" applyAlignment="1" applyProtection="1">
      <alignment horizontal="center" vertical="center"/>
      <protection hidden="1"/>
    </xf>
    <xf numFmtId="172" fontId="9" fillId="5" borderId="5" xfId="0" applyNumberFormat="1" applyFont="1" applyFill="1" applyBorder="1" applyAlignment="1" applyProtection="1">
      <alignment horizontal="left" vertical="center" indent="1"/>
      <protection hidden="1"/>
    </xf>
    <xf numFmtId="178" fontId="9" fillId="5" borderId="4" xfId="0" applyNumberFormat="1" applyFont="1" applyFill="1" applyBorder="1" applyAlignment="1" applyProtection="1">
      <alignment vertical="center"/>
      <protection hidden="1"/>
    </xf>
    <xf numFmtId="0" fontId="9" fillId="5" borderId="3" xfId="0" applyNumberFormat="1" applyFont="1" applyFill="1" applyBorder="1" applyAlignment="1" applyProtection="1">
      <alignment horizontal="left" vertical="center" indent="1"/>
      <protection hidden="1"/>
    </xf>
    <xf numFmtId="0" fontId="9" fillId="9" borderId="39" xfId="5" applyNumberFormat="1" applyFont="1" applyFill="1" applyBorder="1" applyAlignment="1" applyProtection="1">
      <alignment horizontal="left" vertical="center" indent="1"/>
      <protection hidden="1"/>
    </xf>
    <xf numFmtId="0" fontId="9" fillId="5" borderId="34" xfId="0" applyNumberFormat="1" applyFont="1" applyFill="1" applyBorder="1" applyAlignment="1" applyProtection="1">
      <alignment horizontal="left" vertical="center" indent="1"/>
      <protection hidden="1"/>
    </xf>
    <xf numFmtId="172" fontId="9" fillId="5" borderId="31" xfId="0" applyNumberFormat="1" applyFont="1" applyFill="1" applyBorder="1" applyAlignment="1" applyProtection="1">
      <alignment horizontal="left" vertical="center" indent="1"/>
      <protection hidden="1"/>
    </xf>
    <xf numFmtId="178" fontId="8" fillId="0" borderId="33" xfId="0" applyNumberFormat="1" applyFont="1" applyFill="1" applyBorder="1" applyAlignment="1" applyProtection="1">
      <alignment vertical="center"/>
      <protection locked="0"/>
    </xf>
    <xf numFmtId="172" fontId="9" fillId="5" borderId="13" xfId="0" applyNumberFormat="1" applyFont="1" applyFill="1" applyBorder="1" applyAlignment="1" applyProtection="1">
      <alignment horizontal="left" vertical="center" indent="1"/>
      <protection hidden="1"/>
    </xf>
    <xf numFmtId="0" fontId="8" fillId="0" borderId="95" xfId="0" applyFont="1" applyFill="1" applyBorder="1" applyAlignment="1" applyProtection="1">
      <alignment horizontal="left" vertical="center" wrapText="1" indent="2"/>
      <protection locked="0"/>
    </xf>
    <xf numFmtId="0" fontId="9" fillId="9" borderId="43" xfId="5" applyFont="1" applyFill="1" applyBorder="1" applyAlignment="1" applyProtection="1">
      <alignment horizontal="left" vertical="center" indent="1"/>
      <protection hidden="1"/>
    </xf>
    <xf numFmtId="0" fontId="9" fillId="5" borderId="12" xfId="0" applyFont="1" applyFill="1" applyBorder="1" applyAlignment="1" applyProtection="1">
      <protection hidden="1"/>
    </xf>
    <xf numFmtId="172" fontId="9" fillId="5" borderId="12" xfId="0" applyNumberFormat="1" applyFont="1" applyFill="1" applyBorder="1" applyAlignment="1" applyProtection="1">
      <alignment horizontal="center" vertical="center"/>
      <protection hidden="1"/>
    </xf>
    <xf numFmtId="178" fontId="9" fillId="5" borderId="43" xfId="0" applyNumberFormat="1" applyFont="1" applyFill="1" applyBorder="1" applyAlignment="1" applyProtection="1">
      <alignment vertical="center"/>
      <protection hidden="1"/>
    </xf>
    <xf numFmtId="0" fontId="8" fillId="9" borderId="0" xfId="0" applyNumberFormat="1" applyFont="1" applyFill="1" applyBorder="1" applyAlignment="1" applyProtection="1">
      <alignment vertical="center"/>
      <protection hidden="1"/>
    </xf>
    <xf numFmtId="0" fontId="16" fillId="9" borderId="0" xfId="0" applyFont="1" applyFill="1" applyBorder="1" applyAlignment="1" applyProtection="1">
      <alignment horizontal="center" vertical="center"/>
      <protection hidden="1"/>
    </xf>
    <xf numFmtId="0" fontId="30" fillId="9" borderId="0" xfId="0" applyNumberFormat="1" applyFont="1" applyFill="1" applyBorder="1" applyAlignment="1" applyProtection="1">
      <alignment horizontal="center" vertical="center"/>
      <protection hidden="1"/>
    </xf>
    <xf numFmtId="172" fontId="9" fillId="5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left" vertical="top" indent="1"/>
      <protection hidden="1"/>
    </xf>
    <xf numFmtId="172" fontId="9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left" vertical="top" indent="1"/>
      <protection hidden="1"/>
    </xf>
    <xf numFmtId="0" fontId="8" fillId="5" borderId="100" xfId="0" applyFont="1" applyFill="1" applyBorder="1" applyProtection="1">
      <protection hidden="1"/>
    </xf>
    <xf numFmtId="172" fontId="9" fillId="5" borderId="0" xfId="0" quotePrefix="1" applyNumberFormat="1" applyFont="1" applyFill="1" applyBorder="1" applyAlignment="1" applyProtection="1">
      <alignment horizontal="center" vertical="center"/>
      <protection hidden="1"/>
    </xf>
    <xf numFmtId="0" fontId="8" fillId="9" borderId="41" xfId="0" applyFont="1" applyFill="1" applyBorder="1" applyProtection="1">
      <protection hidden="1"/>
    </xf>
    <xf numFmtId="165" fontId="20" fillId="5" borderId="10" xfId="0" applyNumberFormat="1" applyFont="1" applyFill="1" applyBorder="1" applyAlignment="1" applyProtection="1">
      <protection hidden="1"/>
    </xf>
    <xf numFmtId="0" fontId="8" fillId="5" borderId="0" xfId="0" quotePrefix="1" applyNumberFormat="1" applyFont="1" applyFill="1" applyBorder="1" applyAlignment="1" applyProtection="1">
      <protection hidden="1"/>
    </xf>
    <xf numFmtId="0" fontId="9" fillId="9" borderId="36" xfId="5" applyFont="1" applyFill="1" applyBorder="1" applyAlignment="1" applyProtection="1">
      <alignment horizontal="left" vertical="center" indent="1"/>
      <protection hidden="1"/>
    </xf>
    <xf numFmtId="0" fontId="8" fillId="9" borderId="78" xfId="0" applyFont="1" applyFill="1" applyBorder="1" applyProtection="1">
      <protection hidden="1"/>
    </xf>
    <xf numFmtId="0" fontId="8" fillId="9" borderId="52" xfId="0" applyFont="1" applyFill="1" applyBorder="1" applyProtection="1">
      <protection hidden="1"/>
    </xf>
    <xf numFmtId="0" fontId="8" fillId="5" borderId="24" xfId="0" applyFont="1" applyFill="1" applyBorder="1" applyAlignment="1" applyProtection="1">
      <alignment vertical="center"/>
      <protection hidden="1"/>
    </xf>
    <xf numFmtId="172" fontId="8" fillId="5" borderId="106" xfId="0" applyNumberFormat="1" applyFont="1" applyFill="1" applyBorder="1" applyProtection="1">
      <protection hidden="1"/>
    </xf>
    <xf numFmtId="0" fontId="8" fillId="5" borderId="106" xfId="0" applyFont="1" applyFill="1" applyBorder="1" applyProtection="1">
      <protection hidden="1"/>
    </xf>
    <xf numFmtId="0" fontId="8" fillId="5" borderId="107" xfId="0" applyFont="1" applyFill="1" applyBorder="1" applyProtection="1">
      <protection hidden="1"/>
    </xf>
    <xf numFmtId="172" fontId="8" fillId="5" borderId="0" xfId="0" applyNumberFormat="1" applyFont="1" applyFill="1" applyBorder="1" applyProtection="1">
      <protection hidden="1"/>
    </xf>
    <xf numFmtId="0" fontId="19" fillId="5" borderId="100" xfId="0" applyFont="1" applyFill="1" applyBorder="1" applyAlignment="1" applyProtection="1">
      <protection hidden="1"/>
    </xf>
    <xf numFmtId="0" fontId="8" fillId="9" borderId="102" xfId="0" applyFont="1" applyFill="1" applyBorder="1" applyAlignment="1" applyProtection="1">
      <alignment vertical="top"/>
      <protection hidden="1"/>
    </xf>
    <xf numFmtId="172" fontId="8" fillId="5" borderId="100" xfId="0" quotePrefix="1" applyNumberFormat="1" applyFont="1" applyFill="1" applyBorder="1" applyAlignment="1" applyProtection="1">
      <alignment horizontal="center" vertical="center"/>
      <protection hidden="1"/>
    </xf>
    <xf numFmtId="172" fontId="8" fillId="5" borderId="100" xfId="0" applyNumberFormat="1" applyFont="1" applyFill="1" applyBorder="1" applyAlignment="1" applyProtection="1">
      <alignment vertical="center"/>
      <protection hidden="1"/>
    </xf>
    <xf numFmtId="0" fontId="19" fillId="9" borderId="100" xfId="0" applyFont="1" applyFill="1" applyBorder="1" applyAlignment="1" applyProtection="1">
      <protection hidden="1"/>
    </xf>
    <xf numFmtId="0" fontId="9" fillId="5" borderId="102" xfId="0" applyFont="1" applyFill="1" applyBorder="1" applyAlignment="1" applyProtection="1">
      <alignment horizontal="center" vertical="center"/>
      <protection hidden="1"/>
    </xf>
    <xf numFmtId="172" fontId="9" fillId="5" borderId="102" xfId="0" applyNumberFormat="1" applyFont="1" applyFill="1" applyBorder="1" applyAlignment="1" applyProtection="1">
      <alignment horizontal="center" vertical="center"/>
      <protection hidden="1"/>
    </xf>
    <xf numFmtId="164" fontId="8" fillId="5" borderId="108" xfId="0" applyNumberFormat="1" applyFont="1" applyFill="1" applyBorder="1" applyAlignment="1" applyProtection="1">
      <alignment vertical="center"/>
      <protection hidden="1"/>
    </xf>
    <xf numFmtId="0" fontId="8" fillId="5" borderId="108" xfId="0" applyFont="1" applyFill="1" applyBorder="1" applyAlignment="1" applyProtection="1">
      <alignment vertical="center"/>
      <protection hidden="1"/>
    </xf>
    <xf numFmtId="0" fontId="19" fillId="5" borderId="109" xfId="0" applyFont="1" applyFill="1" applyBorder="1" applyAlignment="1" applyProtection="1">
      <protection hidden="1"/>
    </xf>
    <xf numFmtId="0" fontId="8" fillId="9" borderId="58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 vertical="center" indent="1"/>
      <protection hidden="1"/>
    </xf>
    <xf numFmtId="0" fontId="9" fillId="3" borderId="10" xfId="0" applyFont="1" applyFill="1" applyBorder="1" applyAlignment="1" applyProtection="1">
      <alignment horizontal="left" vertical="center" indent="1"/>
      <protection hidden="1"/>
    </xf>
    <xf numFmtId="0" fontId="9" fillId="3" borderId="10" xfId="0" applyFont="1" applyFill="1" applyBorder="1" applyAlignment="1" applyProtection="1">
      <alignment horizontal="left" vertical="center" indent="2"/>
      <protection hidden="1"/>
    </xf>
    <xf numFmtId="0" fontId="8" fillId="3" borderId="10" xfId="0" applyFont="1" applyFill="1" applyBorder="1" applyAlignment="1" applyProtection="1">
      <alignment horizontal="left" vertical="center" indent="3"/>
      <protection hidden="1"/>
    </xf>
    <xf numFmtId="0" fontId="9" fillId="3" borderId="10" xfId="0" applyFont="1" applyFill="1" applyBorder="1" applyAlignment="1" applyProtection="1">
      <alignment horizontal="left" vertical="center" indent="3"/>
      <protection hidden="1"/>
    </xf>
    <xf numFmtId="0" fontId="9" fillId="3" borderId="34" xfId="0" applyFont="1" applyFill="1" applyBorder="1" applyAlignment="1" applyProtection="1">
      <alignment horizontal="left" vertical="center" indent="1"/>
      <protection hidden="1"/>
    </xf>
    <xf numFmtId="0" fontId="9" fillId="10" borderId="21" xfId="0" applyFont="1" applyFill="1" applyBorder="1" applyAlignment="1" applyProtection="1">
      <alignment horizontal="left" vertical="center" indent="1"/>
      <protection hidden="1"/>
    </xf>
    <xf numFmtId="0" fontId="8" fillId="10" borderId="10" xfId="0" applyFont="1" applyFill="1" applyBorder="1" applyAlignment="1" applyProtection="1">
      <alignment horizontal="left" vertical="center" indent="2"/>
      <protection hidden="1"/>
    </xf>
    <xf numFmtId="0" fontId="9" fillId="9" borderId="34" xfId="0" applyFont="1" applyFill="1" applyBorder="1" applyAlignment="1" applyProtection="1">
      <alignment horizontal="left" vertical="center" indent="2"/>
      <protection hidden="1"/>
    </xf>
    <xf numFmtId="0" fontId="9" fillId="9" borderId="46" xfId="0" applyFont="1" applyFill="1" applyBorder="1" applyAlignment="1" applyProtection="1">
      <alignment horizontal="left" vertical="center" indent="1"/>
      <protection hidden="1"/>
    </xf>
    <xf numFmtId="180" fontId="9" fillId="2" borderId="50" xfId="0" applyNumberFormat="1" applyFont="1" applyFill="1" applyBorder="1" applyAlignment="1" applyProtection="1">
      <alignment vertical="center"/>
      <protection hidden="1"/>
    </xf>
    <xf numFmtId="180" fontId="9" fillId="2" borderId="92" xfId="0" applyNumberFormat="1" applyFont="1" applyFill="1" applyBorder="1" applyAlignment="1" applyProtection="1">
      <alignment vertical="center"/>
      <protection hidden="1"/>
    </xf>
    <xf numFmtId="170" fontId="8" fillId="9" borderId="41" xfId="0" applyNumberFormat="1" applyFont="1" applyFill="1" applyBorder="1" applyAlignment="1" applyProtection="1">
      <alignment horizontal="left" vertical="center"/>
      <protection hidden="1"/>
    </xf>
    <xf numFmtId="180" fontId="9" fillId="2" borderId="73" xfId="0" applyNumberFormat="1" applyFont="1" applyFill="1" applyBorder="1" applyAlignment="1" applyProtection="1">
      <alignment vertical="center"/>
      <protection hidden="1"/>
    </xf>
    <xf numFmtId="180" fontId="9" fillId="9" borderId="56" xfId="0" applyNumberFormat="1" applyFont="1" applyFill="1" applyBorder="1" applyAlignment="1" applyProtection="1">
      <alignment vertical="center"/>
      <protection hidden="1"/>
    </xf>
    <xf numFmtId="0" fontId="9" fillId="3" borderId="26" xfId="0" applyFont="1" applyFill="1" applyBorder="1" applyAlignment="1" applyProtection="1">
      <alignment horizontal="center" vertical="top"/>
      <protection hidden="1"/>
    </xf>
    <xf numFmtId="0" fontId="8" fillId="3" borderId="12" xfId="0" applyFont="1" applyFill="1" applyBorder="1" applyProtection="1">
      <protection hidden="1"/>
    </xf>
    <xf numFmtId="178" fontId="8" fillId="0" borderId="43" xfId="0" applyNumberFormat="1" applyFont="1" applyFill="1" applyBorder="1" applyAlignment="1" applyProtection="1">
      <alignment vertical="center"/>
      <protection locked="0"/>
    </xf>
    <xf numFmtId="169" fontId="8" fillId="0" borderId="12" xfId="0" applyNumberFormat="1" applyFont="1" applyFill="1" applyBorder="1" applyAlignment="1" applyProtection="1">
      <alignment horizontal="center" vertical="center"/>
      <protection locked="0"/>
    </xf>
    <xf numFmtId="178" fontId="8" fillId="0" borderId="95" xfId="0" applyNumberFormat="1" applyFont="1" applyFill="1" applyBorder="1" applyAlignment="1" applyProtection="1">
      <alignment vertical="center"/>
      <protection locked="0"/>
    </xf>
    <xf numFmtId="180" fontId="9" fillId="2" borderId="43" xfId="0" applyNumberFormat="1" applyFont="1" applyFill="1" applyBorder="1" applyAlignment="1" applyProtection="1">
      <alignment vertical="center"/>
      <protection hidden="1"/>
    </xf>
    <xf numFmtId="169" fontId="8" fillId="3" borderId="12" xfId="0" applyNumberFormat="1" applyFont="1" applyFill="1" applyBorder="1" applyAlignment="1" applyProtection="1">
      <alignment horizontal="center" vertical="center"/>
      <protection hidden="1"/>
    </xf>
    <xf numFmtId="170" fontId="8" fillId="2" borderId="12" xfId="0" applyNumberFormat="1" applyFont="1" applyFill="1" applyBorder="1" applyAlignment="1" applyProtection="1">
      <alignment vertical="center"/>
      <protection hidden="1"/>
    </xf>
    <xf numFmtId="170" fontId="8" fillId="2" borderId="95" xfId="0" applyNumberFormat="1" applyFont="1" applyFill="1" applyBorder="1" applyAlignment="1" applyProtection="1">
      <alignment vertical="center"/>
      <protection hidden="1"/>
    </xf>
    <xf numFmtId="180" fontId="9" fillId="2" borderId="93" xfId="0" applyNumberFormat="1" applyFont="1" applyFill="1" applyBorder="1" applyAlignment="1" applyProtection="1">
      <alignment vertical="center"/>
      <protection hidden="1"/>
    </xf>
    <xf numFmtId="170" fontId="8" fillId="9" borderId="26" xfId="0" applyNumberFormat="1" applyFont="1" applyFill="1" applyBorder="1" applyAlignment="1" applyProtection="1">
      <alignment horizontal="left" vertical="center"/>
      <protection hidden="1"/>
    </xf>
    <xf numFmtId="180" fontId="9" fillId="2" borderId="18" xfId="0" applyNumberFormat="1" applyFont="1" applyFill="1" applyBorder="1" applyAlignment="1" applyProtection="1">
      <alignment vertical="center"/>
      <protection hidden="1"/>
    </xf>
    <xf numFmtId="180" fontId="9" fillId="9" borderId="59" xfId="0" applyNumberFormat="1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protection hidden="1"/>
    </xf>
    <xf numFmtId="0" fontId="9" fillId="3" borderId="10" xfId="0" applyFont="1" applyFill="1" applyBorder="1" applyProtection="1">
      <protection hidden="1"/>
    </xf>
    <xf numFmtId="0" fontId="8" fillId="3" borderId="10" xfId="0" applyFont="1" applyFill="1" applyBorder="1" applyProtection="1">
      <protection hidden="1"/>
    </xf>
    <xf numFmtId="0" fontId="8" fillId="3" borderId="34" xfId="0" applyFont="1" applyFill="1" applyBorder="1" applyProtection="1"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100" xfId="0" applyFont="1" applyFill="1" applyBorder="1" applyAlignment="1" applyProtection="1">
      <alignment horizontal="center" vertical="center"/>
      <protection hidden="1"/>
    </xf>
    <xf numFmtId="0" fontId="9" fillId="3" borderId="100" xfId="0" applyFont="1" applyFill="1" applyBorder="1" applyAlignment="1" applyProtection="1">
      <alignment horizontal="center" vertical="top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top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185" fontId="8" fillId="0" borderId="8" xfId="0" applyNumberFormat="1" applyFont="1" applyFill="1" applyBorder="1" applyAlignment="1" applyProtection="1">
      <alignment vertical="center"/>
      <protection locked="0"/>
    </xf>
    <xf numFmtId="182" fontId="8" fillId="9" borderId="25" xfId="0" applyNumberFormat="1" applyFont="1" applyFill="1" applyBorder="1" applyAlignment="1" applyProtection="1">
      <alignment vertical="center"/>
      <protection hidden="1"/>
    </xf>
    <xf numFmtId="185" fontId="8" fillId="0" borderId="33" xfId="0" applyNumberFormat="1" applyFont="1" applyFill="1" applyBorder="1" applyAlignment="1" applyProtection="1">
      <alignment vertical="center"/>
      <protection locked="0"/>
    </xf>
    <xf numFmtId="179" fontId="9" fillId="4" borderId="16" xfId="0" applyNumberFormat="1" applyFont="1" applyFill="1" applyBorder="1" applyAlignment="1" applyProtection="1">
      <alignment vertical="center"/>
      <protection hidden="1"/>
    </xf>
    <xf numFmtId="0" fontId="8" fillId="5" borderId="0" xfId="12" quotePrefix="1" applyFont="1" applyFill="1" applyBorder="1" applyProtection="1">
      <protection hidden="1"/>
    </xf>
    <xf numFmtId="0" fontId="8" fillId="5" borderId="0" xfId="12" applyFont="1" applyFill="1" applyBorder="1" applyProtection="1">
      <protection hidden="1"/>
    </xf>
    <xf numFmtId="0" fontId="8" fillId="5" borderId="108" xfId="12" applyFont="1" applyFill="1" applyBorder="1" applyProtection="1">
      <protection hidden="1"/>
    </xf>
    <xf numFmtId="0" fontId="12" fillId="0" borderId="0" xfId="0" applyFont="1" applyAlignment="1" applyProtection="1">
      <alignment horizontal="left" vertical="center" indent="1"/>
      <protection hidden="1"/>
    </xf>
    <xf numFmtId="0" fontId="9" fillId="0" borderId="7" xfId="5" applyFont="1" applyFill="1" applyBorder="1" applyAlignment="1" applyProtection="1">
      <alignment horizontal="center" vertical="top" wrapText="1"/>
      <protection hidden="1"/>
    </xf>
    <xf numFmtId="175" fontId="9" fillId="0" borderId="7" xfId="5" applyNumberFormat="1" applyFont="1" applyFill="1" applyBorder="1" applyAlignment="1" applyProtection="1">
      <alignment horizontal="center" vertical="top" wrapText="1"/>
      <protection hidden="1"/>
    </xf>
    <xf numFmtId="175" fontId="9" fillId="0" borderId="0" xfId="5" applyNumberFormat="1" applyFont="1" applyFill="1" applyBorder="1" applyAlignment="1" applyProtection="1">
      <alignment horizontal="center" vertical="top" wrapText="1"/>
      <protection hidden="1"/>
    </xf>
    <xf numFmtId="0" fontId="9" fillId="0" borderId="7" xfId="11" applyFont="1" applyBorder="1" applyAlignment="1" applyProtection="1">
      <alignment horizontal="center" vertical="center"/>
      <protection hidden="1"/>
    </xf>
    <xf numFmtId="0" fontId="9" fillId="0" borderId="10" xfId="12" applyFont="1" applyBorder="1" applyAlignment="1" applyProtection="1">
      <alignment horizontal="center" vertical="center"/>
      <protection hidden="1"/>
    </xf>
    <xf numFmtId="0" fontId="9" fillId="0" borderId="7" xfId="12" applyFont="1" applyBorder="1" applyAlignment="1" applyProtection="1">
      <alignment horizontal="center" vertical="center"/>
      <protection hidden="1"/>
    </xf>
    <xf numFmtId="0" fontId="9" fillId="0" borderId="8" xfId="12" applyFont="1" applyBorder="1" applyAlignment="1" applyProtection="1">
      <alignment horizontal="center" vertical="center"/>
      <protection hidden="1"/>
    </xf>
    <xf numFmtId="175" fontId="8" fillId="0" borderId="6" xfId="11" applyNumberFormat="1" applyFont="1" applyFill="1" applyBorder="1" applyAlignment="1" applyProtection="1">
      <protection hidden="1"/>
    </xf>
    <xf numFmtId="175" fontId="8" fillId="0" borderId="7" xfId="11" applyNumberFormat="1" applyFont="1" applyFill="1" applyBorder="1" applyAlignment="1" applyProtection="1">
      <protection hidden="1"/>
    </xf>
    <xf numFmtId="175" fontId="8" fillId="0" borderId="7" xfId="12" applyNumberFormat="1" applyFont="1" applyFill="1" applyBorder="1" applyProtection="1">
      <protection hidden="1"/>
    </xf>
    <xf numFmtId="175" fontId="9" fillId="0" borderId="8" xfId="12" applyNumberFormat="1" applyFont="1" applyFill="1" applyBorder="1" applyAlignment="1" applyProtection="1">
      <protection hidden="1"/>
    </xf>
    <xf numFmtId="175" fontId="8" fillId="0" borderId="6" xfId="12" applyNumberFormat="1" applyFont="1" applyFill="1" applyBorder="1" applyAlignment="1" applyProtection="1">
      <protection hidden="1"/>
    </xf>
    <xf numFmtId="175" fontId="8" fillId="0" borderId="6" xfId="12" applyNumberFormat="1" applyFont="1" applyFill="1" applyBorder="1" applyProtection="1">
      <protection hidden="1"/>
    </xf>
    <xf numFmtId="0" fontId="11" fillId="0" borderId="11" xfId="8" applyNumberFormat="1" applyFont="1" applyBorder="1" applyAlignment="1" applyProtection="1">
      <alignment horizontal="left" indent="1"/>
      <protection hidden="1"/>
    </xf>
    <xf numFmtId="0" fontId="11" fillId="0" borderId="0" xfId="11" applyNumberFormat="1" applyFont="1" applyFill="1" applyBorder="1" applyAlignment="1" applyProtection="1">
      <protection hidden="1"/>
    </xf>
    <xf numFmtId="0" fontId="11" fillId="0" borderId="0" xfId="12" applyNumberFormat="1" applyFont="1" applyFill="1" applyBorder="1" applyAlignment="1" applyProtection="1">
      <protection hidden="1"/>
    </xf>
    <xf numFmtId="175" fontId="12" fillId="0" borderId="0" xfId="11" applyNumberFormat="1" applyFont="1" applyFill="1" applyBorder="1" applyAlignment="1" applyProtection="1">
      <protection hidden="1"/>
    </xf>
    <xf numFmtId="0" fontId="11" fillId="0" borderId="0" xfId="8" applyNumberFormat="1" applyFont="1" applyBorder="1" applyAlignment="1" applyProtection="1">
      <alignment horizontal="left" indent="1"/>
      <protection hidden="1"/>
    </xf>
    <xf numFmtId="0" fontId="8" fillId="17" borderId="0" xfId="0" applyFont="1" applyFill="1" applyProtection="1">
      <protection hidden="1"/>
    </xf>
    <xf numFmtId="172" fontId="9" fillId="6" borderId="106" xfId="0" applyNumberFormat="1" applyFont="1" applyFill="1" applyBorder="1" applyAlignment="1" applyProtection="1">
      <alignment vertical="center" wrapText="1"/>
      <protection hidden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21" fillId="7" borderId="0" xfId="0" applyFont="1" applyFill="1" applyBorder="1" applyAlignment="1" applyProtection="1">
      <alignment horizontal="center" vertical="top" wrapText="1"/>
      <protection hidden="1"/>
    </xf>
    <xf numFmtId="0" fontId="8" fillId="7" borderId="58" xfId="4" applyFont="1" applyFill="1" applyBorder="1" applyProtection="1">
      <protection hidden="1"/>
    </xf>
    <xf numFmtId="0" fontId="8" fillId="7" borderId="108" xfId="4" applyFont="1" applyFill="1" applyBorder="1" applyProtection="1">
      <protection hidden="1"/>
    </xf>
    <xf numFmtId="0" fontId="8" fillId="7" borderId="102" xfId="0" applyFont="1" applyFill="1" applyBorder="1" applyAlignment="1" applyProtection="1">
      <alignment horizontal="center" vertical="top" wrapText="1"/>
      <protection hidden="1"/>
    </xf>
    <xf numFmtId="0" fontId="21" fillId="7" borderId="102" xfId="0" applyFont="1" applyFill="1" applyBorder="1" applyAlignment="1" applyProtection="1">
      <alignment horizontal="center" vertical="top" wrapText="1"/>
      <protection hidden="1"/>
    </xf>
    <xf numFmtId="0" fontId="9" fillId="7" borderId="8" xfId="0" applyFont="1" applyFill="1" applyBorder="1" applyAlignment="1" applyProtection="1">
      <alignment horizontal="center" vertical="center" wrapText="1"/>
      <protection hidden="1"/>
    </xf>
    <xf numFmtId="172" fontId="9" fillId="6" borderId="106" xfId="0" applyNumberFormat="1" applyFont="1" applyFill="1" applyBorder="1" applyAlignment="1" applyProtection="1">
      <alignment horizontal="right" vertical="center" indent="1"/>
      <protection hidden="1"/>
    </xf>
    <xf numFmtId="176" fontId="9" fillId="7" borderId="0" xfId="4" applyNumberFormat="1" applyFont="1" applyFill="1" applyBorder="1" applyAlignment="1" applyProtection="1">
      <alignment vertical="center"/>
      <protection hidden="1"/>
    </xf>
    <xf numFmtId="180" fontId="9" fillId="7" borderId="17" xfId="4" applyNumberFormat="1" applyFont="1" applyFill="1" applyBorder="1" applyAlignment="1" applyProtection="1">
      <alignment vertical="center"/>
      <protection hidden="1"/>
    </xf>
    <xf numFmtId="180" fontId="9" fillId="7" borderId="11" xfId="4" applyNumberFormat="1" applyFont="1" applyFill="1" applyBorder="1" applyAlignment="1" applyProtection="1">
      <alignment vertical="center"/>
      <protection hidden="1"/>
    </xf>
    <xf numFmtId="0" fontId="8" fillId="7" borderId="7" xfId="0" applyFont="1" applyFill="1" applyBorder="1" applyAlignment="1" applyProtection="1">
      <alignment horizontal="center" vertical="top" wrapText="1"/>
      <protection hidden="1"/>
    </xf>
    <xf numFmtId="176" fontId="8" fillId="7" borderId="110" xfId="4" applyNumberFormat="1" applyFont="1" applyFill="1" applyBorder="1" applyAlignment="1" applyProtection="1">
      <alignment vertical="center"/>
      <protection hidden="1"/>
    </xf>
    <xf numFmtId="176" fontId="9" fillId="7" borderId="64" xfId="4" applyNumberFormat="1" applyFont="1" applyFill="1" applyBorder="1" applyAlignment="1" applyProtection="1">
      <alignment vertical="center"/>
      <protection hidden="1"/>
    </xf>
    <xf numFmtId="176" fontId="8" fillId="7" borderId="8" xfId="4" applyNumberFormat="1" applyFont="1" applyFill="1" applyBorder="1" applyAlignment="1" applyProtection="1">
      <alignment vertical="center"/>
      <protection hidden="1"/>
    </xf>
    <xf numFmtId="176" fontId="9" fillId="7" borderId="8" xfId="4" applyNumberFormat="1" applyFont="1" applyFill="1" applyBorder="1" applyAlignment="1" applyProtection="1">
      <alignment vertical="center"/>
      <protection hidden="1"/>
    </xf>
    <xf numFmtId="176" fontId="9" fillId="7" borderId="16" xfId="4" applyNumberFormat="1" applyFont="1" applyFill="1" applyBorder="1" applyAlignment="1" applyProtection="1">
      <alignment vertical="center"/>
      <protection hidden="1"/>
    </xf>
    <xf numFmtId="180" fontId="9" fillId="7" borderId="83" xfId="4" applyNumberFormat="1" applyFont="1" applyFill="1" applyBorder="1" applyAlignment="1" applyProtection="1">
      <alignment vertical="center"/>
      <protection hidden="1"/>
    </xf>
    <xf numFmtId="176" fontId="8" fillId="7" borderId="46" xfId="4" applyNumberFormat="1" applyFont="1" applyFill="1" applyBorder="1" applyAlignment="1" applyProtection="1">
      <alignment vertical="center"/>
      <protection hidden="1"/>
    </xf>
    <xf numFmtId="176" fontId="8" fillId="7" borderId="20" xfId="4" applyNumberFormat="1" applyFont="1" applyFill="1" applyBorder="1" applyAlignment="1" applyProtection="1">
      <alignment vertical="center"/>
      <protection hidden="1"/>
    </xf>
    <xf numFmtId="176" fontId="8" fillId="7" borderId="82" xfId="4" applyNumberFormat="1" applyFont="1" applyFill="1" applyBorder="1" applyAlignment="1" applyProtection="1">
      <alignment vertical="center"/>
      <protection hidden="1"/>
    </xf>
    <xf numFmtId="176" fontId="8" fillId="7" borderId="48" xfId="4" applyNumberFormat="1" applyFont="1" applyFill="1" applyBorder="1" applyAlignment="1" applyProtection="1">
      <alignment vertical="center"/>
      <protection hidden="1"/>
    </xf>
    <xf numFmtId="188" fontId="9" fillId="5" borderId="10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5" borderId="13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5" borderId="14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5" borderId="15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5" borderId="16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5" borderId="18" xfId="0" quotePrefix="1" applyNumberFormat="1" applyFont="1" applyFill="1" applyBorder="1" applyAlignment="1" applyProtection="1">
      <alignment horizontal="center" vertical="center" wrapText="1"/>
      <protection hidden="1"/>
    </xf>
    <xf numFmtId="188" fontId="12" fillId="0" borderId="62" xfId="8" quotePrefix="1" applyNumberFormat="1" applyFont="1" applyBorder="1" applyAlignment="1" applyProtection="1">
      <alignment horizontal="center" vertical="center"/>
      <protection hidden="1"/>
    </xf>
    <xf numFmtId="188" fontId="12" fillId="0" borderId="28" xfId="8" quotePrefix="1" applyNumberFormat="1" applyFont="1" applyBorder="1" applyAlignment="1" applyProtection="1">
      <alignment horizontal="center" vertical="center"/>
      <protection hidden="1"/>
    </xf>
    <xf numFmtId="188" fontId="12" fillId="0" borderId="109" xfId="8" quotePrefix="1" applyNumberFormat="1" applyFont="1" applyBorder="1" applyAlignment="1" applyProtection="1">
      <alignment horizontal="center" vertical="center"/>
      <protection hidden="1"/>
    </xf>
    <xf numFmtId="188" fontId="12" fillId="0" borderId="8" xfId="8" quotePrefix="1" applyNumberFormat="1" applyFont="1" applyBorder="1" applyAlignment="1" applyProtection="1">
      <alignment horizontal="center" vertical="center"/>
      <protection hidden="1"/>
    </xf>
    <xf numFmtId="188" fontId="12" fillId="0" borderId="38" xfId="8" quotePrefix="1" applyNumberFormat="1" applyFont="1" applyBorder="1" applyAlignment="1" applyProtection="1">
      <alignment horizontal="center" vertical="center"/>
      <protection hidden="1"/>
    </xf>
    <xf numFmtId="188" fontId="12" fillId="0" borderId="29" xfId="8" quotePrefix="1" applyNumberFormat="1" applyFont="1" applyBorder="1" applyAlignment="1" applyProtection="1">
      <alignment horizontal="center" vertical="center"/>
      <protection hidden="1"/>
    </xf>
    <xf numFmtId="0" fontId="8" fillId="7" borderId="8" xfId="4" applyNumberFormat="1" applyFont="1" applyFill="1" applyBorder="1" applyAlignment="1" applyProtection="1">
      <alignment vertical="center"/>
      <protection hidden="1"/>
    </xf>
    <xf numFmtId="0" fontId="8" fillId="7" borderId="8" xfId="4" applyNumberFormat="1" applyFont="1" applyFill="1" applyBorder="1" applyAlignment="1" applyProtection="1">
      <protection hidden="1"/>
    </xf>
    <xf numFmtId="0" fontId="8" fillId="7" borderId="16" xfId="4" applyNumberFormat="1" applyFont="1" applyFill="1" applyBorder="1" applyAlignment="1" applyProtection="1">
      <protection hidden="1"/>
    </xf>
    <xf numFmtId="176" fontId="9" fillId="7" borderId="48" xfId="4" applyNumberFormat="1" applyFont="1" applyFill="1" applyBorder="1" applyAlignment="1" applyProtection="1">
      <alignment vertical="center"/>
      <protection hidden="1"/>
    </xf>
    <xf numFmtId="0" fontId="8" fillId="0" borderId="0" xfId="5" applyNumberFormat="1" applyFont="1" applyFill="1" applyBorder="1" applyAlignment="1"/>
    <xf numFmtId="175" fontId="8" fillId="0" borderId="7" xfId="11" applyNumberFormat="1" applyFont="1" applyFill="1" applyBorder="1" applyAlignment="1"/>
    <xf numFmtId="175" fontId="8" fillId="0" borderId="0" xfId="11" applyNumberFormat="1" applyFont="1" applyFill="1" applyBorder="1" applyAlignment="1"/>
    <xf numFmtId="175" fontId="8" fillId="0" borderId="107" xfId="11" applyNumberFormat="1" applyFont="1" applyFill="1" applyBorder="1" applyAlignment="1"/>
    <xf numFmtId="175" fontId="8" fillId="0" borderId="100" xfId="11" applyNumberFormat="1" applyFont="1" applyFill="1" applyBorder="1" applyAlignment="1"/>
    <xf numFmtId="175" fontId="8" fillId="0" borderId="7" xfId="12" applyNumberFormat="1" applyFont="1" applyBorder="1"/>
    <xf numFmtId="0" fontId="8" fillId="0" borderId="0" xfId="5" applyNumberFormat="1" applyFont="1" applyFill="1" applyBorder="1" applyAlignment="1" applyProtection="1">
      <protection hidden="1"/>
    </xf>
    <xf numFmtId="0" fontId="8" fillId="0" borderId="0" xfId="8" quotePrefix="1" applyNumberFormat="1" applyFont="1" applyFill="1" applyBorder="1" applyAlignment="1"/>
    <xf numFmtId="0" fontId="9" fillId="0" borderId="8" xfId="11" applyFont="1" applyBorder="1" applyAlignment="1" applyProtection="1">
      <alignment horizontal="center" vertical="center"/>
      <protection hidden="1"/>
    </xf>
    <xf numFmtId="0" fontId="8" fillId="0" borderId="0" xfId="12" applyNumberFormat="1" applyFont="1" applyBorder="1" applyAlignment="1"/>
    <xf numFmtId="0" fontId="8" fillId="0" borderId="0" xfId="12" applyNumberFormat="1" applyFont="1" applyFill="1" applyBorder="1" applyAlignment="1"/>
    <xf numFmtId="188" fontId="12" fillId="0" borderId="27" xfId="8" quotePrefix="1" applyNumberFormat="1" applyFont="1" applyBorder="1" applyAlignment="1" applyProtection="1">
      <alignment horizontal="center" vertical="center"/>
      <protection hidden="1"/>
    </xf>
    <xf numFmtId="175" fontId="9" fillId="5" borderId="115" xfId="0" applyNumberFormat="1" applyFont="1" applyFill="1" applyBorder="1" applyAlignment="1" applyProtection="1">
      <alignment vertical="center"/>
      <protection hidden="1"/>
    </xf>
    <xf numFmtId="188" fontId="9" fillId="5" borderId="28" xfId="0" quotePrefix="1" applyNumberFormat="1" applyFont="1" applyFill="1" applyBorder="1" applyAlignment="1" applyProtection="1">
      <alignment horizontal="center" vertical="center"/>
      <protection hidden="1"/>
    </xf>
    <xf numFmtId="188" fontId="9" fillId="5" borderId="29" xfId="0" quotePrefix="1" applyNumberFormat="1" applyFont="1" applyFill="1" applyBorder="1" applyAlignment="1" applyProtection="1">
      <alignment horizontal="center" vertical="center"/>
      <protection hidden="1"/>
    </xf>
    <xf numFmtId="188" fontId="9" fillId="3" borderId="15" xfId="0" quotePrefix="1" applyNumberFormat="1" applyFont="1" applyFill="1" applyBorder="1" applyAlignment="1" applyProtection="1">
      <alignment horizontal="center" vertical="center"/>
      <protection hidden="1"/>
    </xf>
    <xf numFmtId="188" fontId="9" fillId="3" borderId="13" xfId="0" quotePrefix="1" applyNumberFormat="1" applyFont="1" applyFill="1" applyBorder="1" applyAlignment="1" applyProtection="1">
      <alignment horizontal="center" vertical="center"/>
      <protection hidden="1"/>
    </xf>
    <xf numFmtId="188" fontId="9" fillId="3" borderId="16" xfId="0" quotePrefix="1" applyNumberFormat="1" applyFont="1" applyFill="1" applyBorder="1" applyAlignment="1" applyProtection="1">
      <alignment horizontal="center" vertical="center"/>
      <protection hidden="1"/>
    </xf>
    <xf numFmtId="188" fontId="9" fillId="4" borderId="73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5" borderId="73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2" borderId="64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15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13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73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18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16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34" xfId="0" quotePrefix="1" applyNumberFormat="1" applyFont="1" applyFill="1" applyBorder="1" applyAlignment="1" applyProtection="1">
      <alignment horizontal="center" vertical="center"/>
      <protection hidden="1"/>
    </xf>
    <xf numFmtId="188" fontId="9" fillId="2" borderId="17" xfId="0" quotePrefix="1" applyNumberFormat="1" applyFont="1" applyFill="1" applyBorder="1" applyAlignment="1" applyProtection="1">
      <alignment horizontal="center" vertical="center"/>
      <protection hidden="1"/>
    </xf>
    <xf numFmtId="188" fontId="9" fillId="3" borderId="18" xfId="0" quotePrefix="1" applyNumberFormat="1" applyFont="1" applyFill="1" applyBorder="1" applyAlignment="1" applyProtection="1">
      <alignment horizontal="center" vertical="center"/>
      <protection hidden="1"/>
    </xf>
    <xf numFmtId="188" fontId="9" fillId="3" borderId="73" xfId="0" quotePrefix="1" applyNumberFormat="1" applyFont="1" applyFill="1" applyBorder="1" applyAlignment="1" applyProtection="1">
      <alignment horizontal="center" vertical="center"/>
      <protection hidden="1"/>
    </xf>
    <xf numFmtId="169" fontId="9" fillId="3" borderId="24" xfId="0" applyNumberFormat="1" applyFont="1" applyFill="1" applyBorder="1" applyAlignment="1" applyProtection="1">
      <alignment horizontal="center" vertical="top"/>
      <protection hidden="1"/>
    </xf>
    <xf numFmtId="169" fontId="9" fillId="3" borderId="27" xfId="0" applyNumberFormat="1" applyFont="1" applyFill="1" applyBorder="1" applyAlignment="1" applyProtection="1">
      <alignment horizontal="center" vertical="center"/>
      <protection hidden="1"/>
    </xf>
    <xf numFmtId="180" fontId="8" fillId="3" borderId="15" xfId="0" applyNumberFormat="1" applyFont="1" applyFill="1" applyBorder="1" applyAlignment="1" applyProtection="1">
      <alignment vertical="center"/>
      <protection hidden="1"/>
    </xf>
    <xf numFmtId="188" fontId="9" fillId="5" borderId="73" xfId="0" quotePrefix="1" applyNumberFormat="1" applyFont="1" applyFill="1" applyBorder="1" applyAlignment="1" applyProtection="1">
      <alignment horizontal="center" vertical="center"/>
      <protection hidden="1"/>
    </xf>
    <xf numFmtId="188" fontId="9" fillId="5" borderId="16" xfId="0" quotePrefix="1" applyNumberFormat="1" applyFont="1" applyFill="1" applyBorder="1" applyAlignment="1" applyProtection="1">
      <alignment horizontal="center" vertical="center"/>
      <protection hidden="1"/>
    </xf>
    <xf numFmtId="188" fontId="9" fillId="5" borderId="18" xfId="0" quotePrefix="1" applyNumberFormat="1" applyFont="1" applyFill="1" applyBorder="1" applyAlignment="1" applyProtection="1">
      <alignment horizontal="center" vertical="center"/>
      <protection hidden="1"/>
    </xf>
    <xf numFmtId="188" fontId="9" fillId="5" borderId="17" xfId="0" quotePrefix="1" applyNumberFormat="1" applyFont="1" applyFill="1" applyBorder="1" applyAlignment="1" applyProtection="1">
      <alignment horizontal="center" vertical="center"/>
      <protection hidden="1"/>
    </xf>
    <xf numFmtId="0" fontId="9" fillId="5" borderId="26" xfId="0" applyFont="1" applyFill="1" applyBorder="1" applyAlignment="1" applyProtection="1">
      <alignment horizontal="left" vertical="center" indent="1"/>
      <protection hidden="1"/>
    </xf>
    <xf numFmtId="0" fontId="9" fillId="5" borderId="26" xfId="0" applyNumberFormat="1" applyFont="1" applyFill="1" applyBorder="1" applyAlignment="1" applyProtection="1">
      <alignment horizontal="center" vertical="center" wrapText="1"/>
      <protection hidden="1"/>
    </xf>
    <xf numFmtId="180" fontId="9" fillId="5" borderId="43" xfId="0" applyNumberFormat="1" applyFont="1" applyFill="1" applyBorder="1" applyAlignment="1" applyProtection="1">
      <alignment vertical="center"/>
      <protection hidden="1"/>
    </xf>
    <xf numFmtId="169" fontId="9" fillId="9" borderId="24" xfId="0" applyNumberFormat="1" applyFont="1" applyFill="1" applyBorder="1" applyAlignment="1" applyProtection="1">
      <alignment horizontal="center" vertical="top"/>
      <protection hidden="1"/>
    </xf>
    <xf numFmtId="169" fontId="9" fillId="9" borderId="27" xfId="0" applyNumberFormat="1" applyFont="1" applyFill="1" applyBorder="1" applyAlignment="1" applyProtection="1">
      <alignment horizontal="center" vertical="center"/>
      <protection hidden="1"/>
    </xf>
    <xf numFmtId="180" fontId="8" fillId="9" borderId="15" xfId="0" applyNumberFormat="1" applyFont="1" applyFill="1" applyBorder="1" applyAlignment="1" applyProtection="1">
      <alignment vertical="center"/>
      <protection hidden="1"/>
    </xf>
    <xf numFmtId="0" fontId="9" fillId="9" borderId="62" xfId="0" applyFont="1" applyFill="1" applyBorder="1" applyAlignment="1" applyProtection="1">
      <alignment horizontal="center" vertical="center" wrapText="1"/>
      <protection hidden="1"/>
    </xf>
    <xf numFmtId="186" fontId="8" fillId="9" borderId="13" xfId="0" applyNumberFormat="1" applyFont="1" applyFill="1" applyBorder="1" applyAlignment="1" applyProtection="1">
      <alignment vertical="center"/>
      <protection hidden="1"/>
    </xf>
    <xf numFmtId="0" fontId="8" fillId="9" borderId="37" xfId="0" applyFont="1" applyFill="1" applyBorder="1" applyProtection="1">
      <protection hidden="1"/>
    </xf>
    <xf numFmtId="0" fontId="12" fillId="0" borderId="0" xfId="14" applyFont="1" applyAlignment="1" applyProtection="1">
      <alignment vertical="center"/>
      <protection hidden="1"/>
    </xf>
    <xf numFmtId="0" fontId="11" fillId="0" borderId="0" xfId="14" applyFont="1" applyProtection="1">
      <protection hidden="1"/>
    </xf>
    <xf numFmtId="0" fontId="12" fillId="0" borderId="31" xfId="14" applyFont="1" applyBorder="1" applyAlignment="1" applyProtection="1">
      <alignment horizontal="center" vertical="center"/>
      <protection locked="0"/>
    </xf>
    <xf numFmtId="0" fontId="12" fillId="0" borderId="0" xfId="14" applyFont="1" applyFill="1" applyBorder="1" applyAlignment="1" applyProtection="1">
      <protection hidden="1"/>
    </xf>
    <xf numFmtId="0" fontId="11" fillId="0" borderId="0" xfId="14" applyNumberFormat="1" applyFont="1" applyFill="1" applyProtection="1">
      <protection hidden="1"/>
    </xf>
    <xf numFmtId="0" fontId="11" fillId="0" borderId="0" xfId="14" applyNumberFormat="1" applyFont="1" applyBorder="1" applyProtection="1">
      <protection hidden="1"/>
    </xf>
    <xf numFmtId="0" fontId="11" fillId="0" borderId="0" xfId="14" applyFont="1" applyFill="1" applyProtection="1">
      <protection hidden="1"/>
    </xf>
    <xf numFmtId="172" fontId="12" fillId="0" borderId="0" xfId="14" applyNumberFormat="1" applyFont="1" applyFill="1" applyBorder="1" applyAlignment="1" applyProtection="1">
      <protection hidden="1"/>
    </xf>
    <xf numFmtId="0" fontId="11" fillId="0" borderId="0" xfId="14" applyFont="1" applyBorder="1" applyAlignment="1" applyProtection="1">
      <protection hidden="1"/>
    </xf>
    <xf numFmtId="0" fontId="11" fillId="0" borderId="64" xfId="14" applyFont="1" applyBorder="1" applyProtection="1">
      <protection hidden="1"/>
    </xf>
    <xf numFmtId="177" fontId="11" fillId="0" borderId="0" xfId="14" applyNumberFormat="1" applyFont="1" applyFill="1" applyAlignment="1" applyProtection="1">
      <alignment horizontal="center"/>
      <protection hidden="1"/>
    </xf>
    <xf numFmtId="172" fontId="11" fillId="0" borderId="0" xfId="14" applyNumberFormat="1" applyFont="1" applyFill="1" applyProtection="1">
      <protection hidden="1"/>
    </xf>
    <xf numFmtId="0" fontId="12" fillId="0" borderId="0" xfId="14" applyFont="1" applyAlignment="1" applyProtection="1">
      <alignment horizontal="left"/>
      <protection hidden="1"/>
    </xf>
    <xf numFmtId="0" fontId="11" fillId="0" borderId="0" xfId="14" applyFont="1" applyAlignment="1" applyProtection="1">
      <alignment horizontal="center"/>
      <protection hidden="1"/>
    </xf>
    <xf numFmtId="0" fontId="11" fillId="0" borderId="21" xfId="14" applyFont="1" applyBorder="1" applyProtection="1">
      <protection hidden="1"/>
    </xf>
    <xf numFmtId="0" fontId="11" fillId="0" borderId="58" xfId="14" applyFont="1" applyBorder="1" applyProtection="1">
      <protection hidden="1"/>
    </xf>
    <xf numFmtId="0" fontId="11" fillId="0" borderId="36" xfId="14" applyFont="1" applyBorder="1" applyProtection="1">
      <protection hidden="1"/>
    </xf>
    <xf numFmtId="0" fontId="11" fillId="0" borderId="109" xfId="14" applyFont="1" applyBorder="1" applyProtection="1">
      <protection hidden="1"/>
    </xf>
    <xf numFmtId="172" fontId="12" fillId="0" borderId="28" xfId="14" applyNumberFormat="1" applyFont="1" applyFill="1" applyBorder="1" applyAlignment="1" applyProtection="1">
      <alignment horizontal="center" vertical="center"/>
      <protection hidden="1"/>
    </xf>
    <xf numFmtId="172" fontId="12" fillId="0" borderId="31" xfId="14" applyNumberFormat="1" applyFont="1" applyFill="1" applyBorder="1" applyAlignment="1" applyProtection="1">
      <alignment horizontal="center" vertical="center"/>
      <protection hidden="1"/>
    </xf>
    <xf numFmtId="3" fontId="12" fillId="0" borderId="28" xfId="14" applyNumberFormat="1" applyFont="1" applyFill="1" applyBorder="1" applyAlignment="1" applyProtection="1">
      <alignment horizontal="center" vertical="center"/>
      <protection hidden="1"/>
    </xf>
    <xf numFmtId="3" fontId="12" fillId="0" borderId="109" xfId="14" applyNumberFormat="1" applyFont="1" applyFill="1" applyBorder="1" applyAlignment="1" applyProtection="1">
      <alignment horizontal="center" vertical="center"/>
      <protection hidden="1"/>
    </xf>
    <xf numFmtId="0" fontId="12" fillId="0" borderId="32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40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33" xfId="14" applyFont="1" applyFill="1" applyBorder="1" applyAlignment="1" applyProtection="1">
      <alignment horizontal="center" vertical="center"/>
      <protection hidden="1"/>
    </xf>
    <xf numFmtId="174" fontId="11" fillId="0" borderId="10" xfId="14" applyNumberFormat="1" applyFont="1" applyBorder="1" applyProtection="1">
      <protection hidden="1"/>
    </xf>
    <xf numFmtId="0" fontId="11" fillId="0" borderId="0" xfId="14" applyFont="1" applyFill="1" applyBorder="1" applyAlignment="1" applyProtection="1">
      <alignment horizontal="left" indent="1"/>
      <protection hidden="1"/>
    </xf>
    <xf numFmtId="177" fontId="11" fillId="0" borderId="7" xfId="14" applyNumberFormat="1" applyFont="1" applyFill="1" applyBorder="1" applyAlignment="1" applyProtection="1">
      <alignment horizontal="center"/>
      <protection hidden="1"/>
    </xf>
    <xf numFmtId="182" fontId="11" fillId="0" borderId="100" xfId="14" applyNumberFormat="1" applyFont="1" applyFill="1" applyBorder="1" applyAlignment="1" applyProtection="1">
      <protection hidden="1"/>
    </xf>
    <xf numFmtId="182" fontId="11" fillId="0" borderId="102" xfId="14" applyNumberFormat="1" applyFont="1" applyFill="1" applyBorder="1" applyAlignment="1" applyProtection="1">
      <protection hidden="1"/>
    </xf>
    <xf numFmtId="0" fontId="11" fillId="0" borderId="118" xfId="14" applyFont="1" applyBorder="1" applyAlignment="1" applyProtection="1">
      <alignment horizontal="center"/>
      <protection hidden="1"/>
    </xf>
    <xf numFmtId="0" fontId="11" fillId="0" borderId="0" xfId="14" applyFont="1" applyAlignment="1" applyProtection="1">
      <protection hidden="1"/>
    </xf>
    <xf numFmtId="177" fontId="11" fillId="0" borderId="7" xfId="14" applyNumberFormat="1" applyFont="1" applyBorder="1" applyAlignment="1" applyProtection="1">
      <alignment horizontal="center"/>
      <protection hidden="1"/>
    </xf>
    <xf numFmtId="0" fontId="11" fillId="0" borderId="8" xfId="14" applyFont="1" applyBorder="1" applyAlignment="1" applyProtection="1">
      <alignment horizontal="center"/>
      <protection hidden="1"/>
    </xf>
    <xf numFmtId="0" fontId="11" fillId="0" borderId="100" xfId="14" applyFont="1" applyFill="1" applyBorder="1" applyAlignment="1" applyProtection="1">
      <alignment horizontal="left" indent="1"/>
      <protection hidden="1"/>
    </xf>
    <xf numFmtId="169" fontId="11" fillId="0" borderId="34" xfId="14" applyNumberFormat="1" applyFont="1" applyBorder="1" applyAlignment="1" applyProtection="1">
      <alignment vertical="center"/>
      <protection hidden="1"/>
    </xf>
    <xf numFmtId="0" fontId="11" fillId="0" borderId="64" xfId="14" applyFont="1" applyFill="1" applyBorder="1" applyAlignment="1" applyProtection="1">
      <alignment horizontal="left" vertical="center" indent="1"/>
      <protection hidden="1"/>
    </xf>
    <xf numFmtId="177" fontId="11" fillId="0" borderId="13" xfId="14" applyNumberFormat="1" applyFont="1" applyFill="1" applyBorder="1" applyAlignment="1" applyProtection="1">
      <alignment horizontal="center" vertical="center"/>
      <protection hidden="1"/>
    </xf>
    <xf numFmtId="177" fontId="11" fillId="0" borderId="13" xfId="14" applyNumberFormat="1" applyFont="1" applyBorder="1" applyAlignment="1" applyProtection="1">
      <alignment horizontal="center" vertical="center"/>
      <protection hidden="1"/>
    </xf>
    <xf numFmtId="177" fontId="11" fillId="0" borderId="13" xfId="14" applyNumberFormat="1" applyFont="1" applyBorder="1" applyAlignment="1" applyProtection="1">
      <alignment horizontal="center"/>
      <protection hidden="1"/>
    </xf>
    <xf numFmtId="182" fontId="11" fillId="0" borderId="73" xfId="14" applyNumberFormat="1" applyFont="1" applyFill="1" applyBorder="1" applyAlignment="1" applyProtection="1">
      <alignment vertical="center"/>
      <protection hidden="1"/>
    </xf>
    <xf numFmtId="182" fontId="11" fillId="0" borderId="14" xfId="14" applyNumberFormat="1" applyFont="1" applyFill="1" applyBorder="1" applyAlignment="1" applyProtection="1">
      <alignment vertical="center"/>
      <protection hidden="1"/>
    </xf>
    <xf numFmtId="0" fontId="11" fillId="0" borderId="16" xfId="14" applyFont="1" applyBorder="1" applyAlignment="1" applyProtection="1">
      <alignment horizontal="center" vertical="center"/>
      <protection hidden="1"/>
    </xf>
    <xf numFmtId="0" fontId="12" fillId="0" borderId="0" xfId="14" applyFont="1" applyProtection="1">
      <protection hidden="1"/>
    </xf>
    <xf numFmtId="0" fontId="11" fillId="0" borderId="23" xfId="14" applyFont="1" applyBorder="1" applyProtection="1">
      <protection hidden="1"/>
    </xf>
    <xf numFmtId="0" fontId="11" fillId="0" borderId="0" xfId="14" applyNumberFormat="1" applyFont="1" applyFill="1" applyBorder="1" applyAlignment="1" applyProtection="1">
      <protection hidden="1"/>
    </xf>
    <xf numFmtId="0" fontId="8" fillId="0" borderId="0" xfId="14" applyNumberFormat="1" applyFont="1" applyFill="1" applyBorder="1" applyAlignment="1"/>
    <xf numFmtId="0" fontId="12" fillId="0" borderId="12" xfId="14" applyFont="1" applyBorder="1" applyAlignment="1" applyProtection="1">
      <alignment horizontal="left" vertical="center" indent="1"/>
      <protection hidden="1"/>
    </xf>
    <xf numFmtId="0" fontId="12" fillId="0" borderId="11" xfId="14" applyFont="1" applyBorder="1" applyAlignment="1" applyProtection="1">
      <alignment horizontal="left" vertical="center" indent="1"/>
      <protection hidden="1"/>
    </xf>
    <xf numFmtId="175" fontId="9" fillId="0" borderId="102" xfId="5" applyNumberFormat="1" applyFont="1" applyFill="1" applyBorder="1" applyAlignment="1" applyProtection="1">
      <alignment horizontal="center" vertical="top" wrapText="1"/>
      <protection hidden="1"/>
    </xf>
    <xf numFmtId="0" fontId="9" fillId="0" borderId="7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11" xfId="14" applyFont="1" applyBorder="1" applyAlignment="1" applyProtection="1">
      <alignment horizontal="center" vertical="top"/>
      <protection hidden="1"/>
    </xf>
    <xf numFmtId="175" fontId="9" fillId="0" borderId="10" xfId="5" applyNumberFormat="1" applyFont="1" applyFill="1" applyBorder="1" applyAlignment="1" applyProtection="1">
      <alignment horizontal="center" vertical="top" wrapText="1"/>
      <protection hidden="1"/>
    </xf>
    <xf numFmtId="175" fontId="9" fillId="0" borderId="118" xfId="5" applyNumberFormat="1" applyFont="1" applyFill="1" applyBorder="1" applyAlignment="1" applyProtection="1">
      <alignment horizontal="center" vertical="top" wrapText="1"/>
      <protection hidden="1"/>
    </xf>
    <xf numFmtId="175" fontId="9" fillId="0" borderId="111" xfId="5" applyNumberFormat="1" applyFont="1" applyFill="1" applyBorder="1" applyAlignment="1" applyProtection="1">
      <alignment horizontal="center" vertical="top" wrapText="1"/>
      <protection hidden="1"/>
    </xf>
    <xf numFmtId="175" fontId="9" fillId="0" borderId="117" xfId="5" applyNumberFormat="1" applyFont="1" applyFill="1" applyBorder="1" applyAlignment="1" applyProtection="1">
      <alignment horizontal="center" vertical="top" wrapText="1"/>
      <protection hidden="1"/>
    </xf>
    <xf numFmtId="0" fontId="12" fillId="0" borderId="117" xfId="14" applyFont="1" applyBorder="1" applyAlignment="1" applyProtection="1">
      <alignment horizontal="center" vertical="top" wrapText="1"/>
      <protection hidden="1"/>
    </xf>
    <xf numFmtId="0" fontId="12" fillId="0" borderId="100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7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117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102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118" xfId="14" applyFont="1" applyBorder="1" applyAlignment="1" applyProtection="1">
      <alignment horizontal="left" vertical="top" indent="1"/>
      <protection hidden="1"/>
    </xf>
    <xf numFmtId="0" fontId="9" fillId="0" borderId="6" xfId="11" applyFont="1" applyBorder="1" applyAlignment="1" applyProtection="1">
      <alignment horizontal="center" vertical="center"/>
      <protection hidden="1"/>
    </xf>
    <xf numFmtId="0" fontId="9" fillId="0" borderId="102" xfId="12" applyFont="1" applyBorder="1" applyAlignment="1" applyProtection="1">
      <alignment horizontal="center" vertical="center"/>
      <protection hidden="1"/>
    </xf>
    <xf numFmtId="0" fontId="9" fillId="0" borderId="100" xfId="12" applyFont="1" applyBorder="1" applyAlignment="1" applyProtection="1">
      <alignment horizontal="center" vertical="center"/>
      <protection hidden="1"/>
    </xf>
    <xf numFmtId="0" fontId="9" fillId="0" borderId="6" xfId="12" applyFont="1" applyBorder="1" applyAlignment="1" applyProtection="1">
      <alignment horizontal="center" vertical="center"/>
      <protection hidden="1"/>
    </xf>
    <xf numFmtId="0" fontId="11" fillId="0" borderId="7" xfId="14" applyFont="1" applyBorder="1" applyProtection="1">
      <protection hidden="1"/>
    </xf>
    <xf numFmtId="0" fontId="12" fillId="0" borderId="100" xfId="14" applyFont="1" applyBorder="1" applyAlignment="1" applyProtection="1">
      <alignment horizontal="center" vertical="center"/>
      <protection hidden="1"/>
    </xf>
    <xf numFmtId="0" fontId="12" fillId="0" borderId="7" xfId="14" applyFont="1" applyBorder="1" applyAlignment="1" applyProtection="1">
      <alignment horizontal="center" vertical="center"/>
      <protection hidden="1"/>
    </xf>
    <xf numFmtId="0" fontId="12" fillId="0" borderId="102" xfId="14" applyFont="1" applyBorder="1" applyAlignment="1" applyProtection="1">
      <alignment horizontal="center" vertical="center"/>
      <protection hidden="1"/>
    </xf>
    <xf numFmtId="0" fontId="12" fillId="0" borderId="8" xfId="14" applyFont="1" applyBorder="1" applyAlignment="1" applyProtection="1">
      <alignment horizontal="center" vertical="center"/>
      <protection hidden="1"/>
    </xf>
    <xf numFmtId="0" fontId="11" fillId="0" borderId="29" xfId="14" applyFont="1" applyBorder="1" applyProtection="1">
      <protection hidden="1"/>
    </xf>
    <xf numFmtId="188" fontId="12" fillId="0" borderId="27" xfId="14" quotePrefix="1" applyNumberFormat="1" applyFont="1" applyBorder="1" applyAlignment="1" applyProtection="1">
      <alignment horizontal="center" vertical="center"/>
      <protection hidden="1"/>
    </xf>
    <xf numFmtId="188" fontId="12" fillId="0" borderId="28" xfId="14" quotePrefix="1" applyNumberFormat="1" applyFont="1" applyBorder="1" applyAlignment="1" applyProtection="1">
      <alignment horizontal="center" vertical="center"/>
      <protection hidden="1"/>
    </xf>
    <xf numFmtId="174" fontId="11" fillId="0" borderId="114" xfId="14" applyNumberFormat="1" applyFont="1" applyBorder="1" applyProtection="1">
      <protection hidden="1"/>
    </xf>
    <xf numFmtId="0" fontId="11" fillId="0" borderId="116" xfId="14" applyFont="1" applyFill="1" applyBorder="1" applyAlignment="1" applyProtection="1">
      <alignment horizontal="left" indent="1"/>
      <protection hidden="1"/>
    </xf>
    <xf numFmtId="175" fontId="8" fillId="0" borderId="117" xfId="11" applyNumberFormat="1" applyFont="1" applyFill="1" applyBorder="1" applyAlignment="1"/>
    <xf numFmtId="175" fontId="11" fillId="0" borderId="11" xfId="14" applyNumberFormat="1" applyFont="1" applyBorder="1" applyProtection="1">
      <protection hidden="1"/>
    </xf>
    <xf numFmtId="175" fontId="8" fillId="0" borderId="6" xfId="12" applyNumberFormat="1" applyFont="1" applyBorder="1"/>
    <xf numFmtId="189" fontId="11" fillId="0" borderId="7" xfId="14" applyNumberFormat="1" applyFont="1" applyBorder="1" applyProtection="1">
      <protection hidden="1"/>
    </xf>
    <xf numFmtId="189" fontId="11" fillId="0" borderId="100" xfId="12" applyNumberFormat="1" applyFont="1" applyFill="1" applyBorder="1" applyProtection="1">
      <protection hidden="1"/>
    </xf>
    <xf numFmtId="189" fontId="11" fillId="0" borderId="7" xfId="12" applyNumberFormat="1" applyFont="1" applyFill="1" applyBorder="1" applyProtection="1">
      <protection hidden="1"/>
    </xf>
    <xf numFmtId="189" fontId="11" fillId="0" borderId="0" xfId="12" applyNumberFormat="1" applyFont="1" applyFill="1" applyBorder="1" applyProtection="1">
      <protection hidden="1"/>
    </xf>
    <xf numFmtId="189" fontId="11" fillId="0" borderId="102" xfId="12" applyNumberFormat="1" applyFont="1" applyFill="1" applyBorder="1" applyProtection="1">
      <protection hidden="1"/>
    </xf>
    <xf numFmtId="189" fontId="11" fillId="0" borderId="8" xfId="14" applyNumberFormat="1" applyFont="1" applyBorder="1" applyProtection="1">
      <protection hidden="1"/>
    </xf>
    <xf numFmtId="0" fontId="8" fillId="0" borderId="0" xfId="11" applyNumberFormat="1" applyFont="1" applyFill="1" applyBorder="1" applyAlignment="1"/>
    <xf numFmtId="0" fontId="11" fillId="0" borderId="11" xfId="14" applyFont="1" applyFill="1" applyBorder="1" applyAlignment="1" applyProtection="1">
      <alignment horizontal="left" indent="1"/>
      <protection hidden="1"/>
    </xf>
    <xf numFmtId="0" fontId="8" fillId="0" borderId="0" xfId="8" applyNumberFormat="1" applyFont="1" applyFill="1" applyBorder="1" applyAlignment="1" applyProtection="1"/>
    <xf numFmtId="0" fontId="11" fillId="0" borderId="34" xfId="14" applyFont="1" applyBorder="1" applyProtection="1">
      <protection hidden="1"/>
    </xf>
    <xf numFmtId="0" fontId="12" fillId="0" borderId="17" xfId="14" applyFont="1" applyFill="1" applyBorder="1" applyAlignment="1" applyProtection="1">
      <alignment horizontal="left" vertical="center" indent="1"/>
      <protection hidden="1"/>
    </xf>
    <xf numFmtId="175" fontId="12" fillId="0" borderId="73" xfId="14" applyNumberFormat="1" applyFont="1" applyBorder="1" applyAlignment="1" applyProtection="1">
      <alignment vertical="center"/>
      <protection hidden="1"/>
    </xf>
    <xf numFmtId="175" fontId="12" fillId="0" borderId="13" xfId="14" applyNumberFormat="1" applyFont="1" applyBorder="1" applyAlignment="1" applyProtection="1">
      <alignment vertical="center"/>
      <protection hidden="1"/>
    </xf>
    <xf numFmtId="175" fontId="12" fillId="0" borderId="17" xfId="14" applyNumberFormat="1" applyFont="1" applyBorder="1" applyAlignment="1" applyProtection="1">
      <alignment vertical="center"/>
      <protection hidden="1"/>
    </xf>
    <xf numFmtId="175" fontId="12" fillId="0" borderId="15" xfId="14" applyNumberFormat="1" applyFont="1" applyBorder="1" applyAlignment="1" applyProtection="1">
      <alignment vertical="center"/>
      <protection hidden="1"/>
    </xf>
    <xf numFmtId="175" fontId="12" fillId="0" borderId="16" xfId="14" applyNumberFormat="1" applyFont="1" applyBorder="1" applyAlignment="1" applyProtection="1">
      <alignment vertical="center"/>
      <protection hidden="1"/>
    </xf>
    <xf numFmtId="189" fontId="12" fillId="0" borderId="15" xfId="14" applyNumberFormat="1" applyFont="1" applyBorder="1" applyAlignment="1" applyProtection="1">
      <alignment vertical="center"/>
      <protection hidden="1"/>
    </xf>
    <xf numFmtId="189" fontId="12" fillId="0" borderId="13" xfId="14" applyNumberFormat="1" applyFont="1" applyBorder="1" applyAlignment="1" applyProtection="1">
      <alignment vertical="center"/>
      <protection hidden="1"/>
    </xf>
    <xf numFmtId="189" fontId="12" fillId="0" borderId="16" xfId="12" applyNumberFormat="1" applyFont="1" applyFill="1" applyBorder="1" applyAlignment="1" applyProtection="1">
      <alignment vertical="center"/>
      <protection hidden="1"/>
    </xf>
    <xf numFmtId="0" fontId="11" fillId="0" borderId="0" xfId="14" applyFont="1" applyBorder="1" applyProtection="1">
      <protection hidden="1"/>
    </xf>
    <xf numFmtId="0" fontId="11" fillId="0" borderId="0" xfId="14" applyFont="1" applyBorder="1" applyAlignment="1" applyProtection="1">
      <alignment horizontal="left" indent="1"/>
      <protection hidden="1"/>
    </xf>
    <xf numFmtId="175" fontId="8" fillId="0" borderId="58" xfId="11" applyNumberFormat="1" applyFont="1" applyFill="1" applyBorder="1" applyAlignment="1"/>
    <xf numFmtId="175" fontId="11" fillId="0" borderId="0" xfId="14" applyNumberFormat="1" applyFont="1" applyProtection="1">
      <protection hidden="1"/>
    </xf>
    <xf numFmtId="189" fontId="11" fillId="0" borderId="0" xfId="14" applyNumberFormat="1" applyFont="1" applyBorder="1" applyProtection="1">
      <protection hidden="1"/>
    </xf>
    <xf numFmtId="189" fontId="11" fillId="0" borderId="58" xfId="12" applyNumberFormat="1" applyFont="1" applyFill="1" applyBorder="1" applyAlignment="1" applyProtection="1">
      <protection hidden="1"/>
    </xf>
    <xf numFmtId="189" fontId="11" fillId="0" borderId="58" xfId="12" applyNumberFormat="1" applyFont="1" applyBorder="1" applyAlignment="1" applyProtection="1">
      <protection hidden="1"/>
    </xf>
    <xf numFmtId="189" fontId="11" fillId="0" borderId="58" xfId="14" applyNumberFormat="1" applyFont="1" applyBorder="1" applyAlignment="1" applyProtection="1">
      <protection hidden="1"/>
    </xf>
    <xf numFmtId="0" fontId="11" fillId="0" borderId="0" xfId="14" applyNumberFormat="1" applyFont="1" applyFill="1" applyBorder="1" applyProtection="1">
      <protection hidden="1"/>
    </xf>
    <xf numFmtId="0" fontId="11" fillId="0" borderId="41" xfId="14" applyFont="1" applyBorder="1" applyProtection="1">
      <protection hidden="1"/>
    </xf>
    <xf numFmtId="0" fontId="11" fillId="0" borderId="10" xfId="14" applyFont="1" applyBorder="1" applyProtection="1">
      <protection hidden="1"/>
    </xf>
    <xf numFmtId="0" fontId="11" fillId="0" borderId="100" xfId="14" applyFont="1" applyBorder="1" applyProtection="1">
      <protection hidden="1"/>
    </xf>
    <xf numFmtId="0" fontId="12" fillId="0" borderId="107" xfId="14" applyFont="1" applyFill="1" applyBorder="1" applyAlignment="1" applyProtection="1">
      <alignment horizontal="center" vertical="top" wrapText="1"/>
      <protection hidden="1"/>
    </xf>
    <xf numFmtId="0" fontId="12" fillId="0" borderId="117" xfId="14" applyFont="1" applyFill="1" applyBorder="1" applyAlignment="1" applyProtection="1">
      <alignment horizontal="center" vertical="top" wrapText="1"/>
      <protection hidden="1"/>
    </xf>
    <xf numFmtId="0" fontId="12" fillId="0" borderId="117" xfId="8" applyNumberFormat="1" applyFont="1" applyBorder="1" applyAlignment="1" applyProtection="1">
      <alignment horizontal="center" vertical="top" wrapText="1"/>
      <protection hidden="1"/>
    </xf>
    <xf numFmtId="0" fontId="12" fillId="0" borderId="117" xfId="14" applyFont="1" applyFill="1" applyBorder="1" applyAlignment="1" applyProtection="1">
      <alignment horizontal="center" vertical="top"/>
      <protection hidden="1"/>
    </xf>
    <xf numFmtId="0" fontId="12" fillId="0" borderId="119" xfId="14" applyFont="1" applyFill="1" applyBorder="1" applyAlignment="1" applyProtection="1">
      <alignment horizontal="center" vertical="top"/>
      <protection hidden="1"/>
    </xf>
    <xf numFmtId="0" fontId="12" fillId="0" borderId="113" xfId="14" applyFont="1" applyFill="1" applyBorder="1" applyAlignment="1" applyProtection="1">
      <alignment horizontal="center" vertical="top" wrapText="1"/>
      <protection hidden="1"/>
    </xf>
    <xf numFmtId="0" fontId="12" fillId="0" borderId="100" xfId="14" applyFont="1" applyBorder="1" applyAlignment="1" applyProtection="1">
      <alignment horizontal="left" vertical="center" indent="1"/>
      <protection hidden="1"/>
    </xf>
    <xf numFmtId="0" fontId="12" fillId="0" borderId="0" xfId="14" applyFont="1" applyBorder="1" applyAlignment="1" applyProtection="1">
      <alignment horizontal="center" vertical="center"/>
      <protection hidden="1"/>
    </xf>
    <xf numFmtId="0" fontId="12" fillId="0" borderId="117" xfId="14" applyFont="1" applyBorder="1" applyAlignment="1" applyProtection="1">
      <alignment horizontal="center" vertical="center"/>
      <protection hidden="1"/>
    </xf>
    <xf numFmtId="0" fontId="12" fillId="0" borderId="118" xfId="14" applyFont="1" applyBorder="1" applyAlignment="1" applyProtection="1">
      <alignment horizontal="center" vertical="center"/>
      <protection hidden="1"/>
    </xf>
    <xf numFmtId="0" fontId="12" fillId="0" borderId="107" xfId="14" applyFont="1" applyBorder="1" applyAlignment="1" applyProtection="1">
      <alignment horizontal="center" vertical="center"/>
      <protection hidden="1"/>
    </xf>
    <xf numFmtId="0" fontId="12" fillId="0" borderId="12" xfId="14" applyFont="1" applyBorder="1" applyAlignment="1" applyProtection="1">
      <alignment horizontal="center" vertical="center"/>
      <protection hidden="1"/>
    </xf>
    <xf numFmtId="0" fontId="11" fillId="0" borderId="10" xfId="14" applyFont="1" applyBorder="1" applyAlignment="1" applyProtection="1">
      <protection hidden="1"/>
    </xf>
    <xf numFmtId="0" fontId="12" fillId="0" borderId="100" xfId="14" applyFont="1" applyBorder="1" applyAlignment="1" applyProtection="1">
      <alignment horizontal="left" vertical="top" indent="1"/>
      <protection hidden="1"/>
    </xf>
    <xf numFmtId="0" fontId="11" fillId="0" borderId="36" xfId="14" applyFont="1" applyBorder="1" applyAlignment="1" applyProtection="1">
      <protection hidden="1"/>
    </xf>
    <xf numFmtId="188" fontId="12" fillId="0" borderId="0" xfId="14" quotePrefix="1" applyNumberFormat="1" applyFont="1" applyBorder="1" applyAlignment="1" applyProtection="1">
      <alignment horizontal="center" vertical="center"/>
      <protection hidden="1"/>
    </xf>
    <xf numFmtId="188" fontId="12" fillId="0" borderId="102" xfId="8" quotePrefix="1" applyNumberFormat="1" applyFont="1" applyBorder="1" applyAlignment="1" applyProtection="1">
      <alignment horizontal="center" vertical="center"/>
      <protection hidden="1"/>
    </xf>
    <xf numFmtId="188" fontId="12" fillId="0" borderId="7" xfId="8" quotePrefix="1" applyNumberFormat="1" applyFont="1" applyBorder="1" applyAlignment="1" applyProtection="1">
      <alignment horizontal="center" vertical="center"/>
      <protection hidden="1"/>
    </xf>
    <xf numFmtId="188" fontId="12" fillId="0" borderId="108" xfId="14" quotePrefix="1" applyNumberFormat="1" applyFont="1" applyBorder="1" applyAlignment="1" applyProtection="1">
      <alignment horizontal="center" vertical="center"/>
      <protection hidden="1"/>
    </xf>
    <xf numFmtId="170" fontId="11" fillId="0" borderId="10" xfId="14" applyNumberFormat="1" applyFont="1" applyBorder="1" applyProtection="1">
      <protection hidden="1"/>
    </xf>
    <xf numFmtId="0" fontId="12" fillId="0" borderId="107" xfId="12" applyFont="1" applyFill="1" applyBorder="1" applyAlignment="1" applyProtection="1">
      <alignment horizontal="left" indent="1"/>
      <protection hidden="1"/>
    </xf>
    <xf numFmtId="175" fontId="11" fillId="0" borderId="119" xfId="12" applyNumberFormat="1" applyFont="1" applyFill="1" applyBorder="1" applyAlignment="1" applyProtection="1">
      <protection hidden="1"/>
    </xf>
    <xf numFmtId="175" fontId="11" fillId="0" borderId="117" xfId="12" applyNumberFormat="1" applyFont="1" applyFill="1" applyBorder="1" applyAlignment="1" applyProtection="1">
      <protection hidden="1"/>
    </xf>
    <xf numFmtId="175" fontId="12" fillId="0" borderId="119" xfId="12" applyNumberFormat="1" applyFont="1" applyFill="1" applyBorder="1" applyAlignment="1" applyProtection="1">
      <protection hidden="1"/>
    </xf>
    <xf numFmtId="175" fontId="12" fillId="0" borderId="118" xfId="12" applyNumberFormat="1" applyFont="1" applyFill="1" applyBorder="1" applyAlignment="1" applyProtection="1">
      <protection hidden="1"/>
    </xf>
    <xf numFmtId="175" fontId="11" fillId="0" borderId="114" xfId="12" applyNumberFormat="1" applyFont="1" applyFill="1" applyBorder="1" applyAlignment="1" applyProtection="1">
      <protection hidden="1"/>
    </xf>
    <xf numFmtId="175" fontId="11" fillId="0" borderId="118" xfId="12" applyNumberFormat="1" applyFont="1" applyFill="1" applyBorder="1" applyAlignment="1" applyProtection="1">
      <protection hidden="1"/>
    </xf>
    <xf numFmtId="184" fontId="11" fillId="0" borderId="100" xfId="12" applyNumberFormat="1" applyFont="1" applyFill="1" applyBorder="1" applyAlignment="1" applyProtection="1">
      <protection hidden="1"/>
    </xf>
    <xf numFmtId="190" fontId="11" fillId="0" borderId="119" xfId="14" applyNumberFormat="1" applyFont="1" applyBorder="1" applyAlignment="1" applyProtection="1">
      <alignment horizontal="right" vertical="center"/>
      <protection hidden="1"/>
    </xf>
    <xf numFmtId="184" fontId="11" fillId="0" borderId="113" xfId="12" applyNumberFormat="1" applyFont="1" applyFill="1" applyBorder="1" applyAlignment="1" applyProtection="1">
      <protection hidden="1"/>
    </xf>
    <xf numFmtId="0" fontId="12" fillId="0" borderId="100" xfId="12" applyFont="1" applyFill="1" applyBorder="1" applyAlignment="1" applyProtection="1">
      <alignment horizontal="left" vertical="center" indent="1"/>
      <protection hidden="1"/>
    </xf>
    <xf numFmtId="0" fontId="11" fillId="0" borderId="102" xfId="12" applyFont="1" applyFill="1" applyBorder="1" applyProtection="1">
      <protection hidden="1"/>
    </xf>
    <xf numFmtId="0" fontId="11" fillId="0" borderId="7" xfId="12" applyFont="1" applyFill="1" applyBorder="1" applyProtection="1">
      <protection hidden="1"/>
    </xf>
    <xf numFmtId="0" fontId="11" fillId="0" borderId="102" xfId="12" applyNumberFormat="1" applyFont="1" applyFill="1" applyBorder="1" applyAlignment="1" applyProtection="1">
      <protection hidden="1"/>
    </xf>
    <xf numFmtId="0" fontId="11" fillId="0" borderId="8" xfId="12" applyNumberFormat="1" applyFont="1" applyFill="1" applyBorder="1" applyAlignment="1" applyProtection="1">
      <protection hidden="1"/>
    </xf>
    <xf numFmtId="0" fontId="11" fillId="0" borderId="10" xfId="12" applyFont="1" applyFill="1" applyBorder="1" applyProtection="1">
      <protection hidden="1"/>
    </xf>
    <xf numFmtId="0" fontId="11" fillId="0" borderId="8" xfId="12" applyFont="1" applyFill="1" applyBorder="1" applyProtection="1">
      <protection hidden="1"/>
    </xf>
    <xf numFmtId="0" fontId="11" fillId="0" borderId="100" xfId="12" applyFont="1" applyFill="1" applyBorder="1" applyAlignment="1" applyProtection="1">
      <alignment vertical="center"/>
      <protection hidden="1"/>
    </xf>
    <xf numFmtId="0" fontId="11" fillId="0" borderId="102" xfId="14" applyFont="1" applyBorder="1" applyAlignment="1" applyProtection="1">
      <alignment horizontal="right" vertical="center"/>
      <protection hidden="1"/>
    </xf>
    <xf numFmtId="0" fontId="11" fillId="0" borderId="12" xfId="12" applyFont="1" applyFill="1" applyBorder="1" applyAlignment="1" applyProtection="1">
      <alignment vertical="center"/>
      <protection hidden="1"/>
    </xf>
    <xf numFmtId="0" fontId="12" fillId="0" borderId="100" xfId="12" applyFont="1" applyFill="1" applyBorder="1" applyAlignment="1" applyProtection="1">
      <alignment horizontal="left" vertical="center" indent="3"/>
      <protection hidden="1"/>
    </xf>
    <xf numFmtId="0" fontId="11" fillId="0" borderId="6" xfId="14" applyFont="1" applyBorder="1" applyProtection="1">
      <protection hidden="1"/>
    </xf>
    <xf numFmtId="0" fontId="11" fillId="0" borderId="8" xfId="14" applyFont="1" applyBorder="1" applyProtection="1">
      <protection hidden="1"/>
    </xf>
    <xf numFmtId="170" fontId="11" fillId="0" borderId="10" xfId="14" applyNumberFormat="1" applyFont="1" applyBorder="1" applyAlignment="1" applyProtection="1">
      <alignment vertical="center"/>
      <protection hidden="1"/>
    </xf>
    <xf numFmtId="0" fontId="11" fillId="0" borderId="100" xfId="12" applyFont="1" applyFill="1" applyBorder="1" applyAlignment="1" applyProtection="1">
      <alignment horizontal="left" vertical="center" indent="4"/>
      <protection hidden="1"/>
    </xf>
    <xf numFmtId="175" fontId="11" fillId="0" borderId="7" xfId="12" applyNumberFormat="1" applyFont="1" applyFill="1" applyBorder="1" applyAlignment="1" applyProtection="1">
      <alignment vertical="center"/>
      <protection hidden="1"/>
    </xf>
    <xf numFmtId="175" fontId="12" fillId="0" borderId="102" xfId="12" applyNumberFormat="1" applyFont="1" applyFill="1" applyBorder="1" applyAlignment="1" applyProtection="1">
      <alignment vertical="center"/>
      <protection hidden="1"/>
    </xf>
    <xf numFmtId="175" fontId="12" fillId="0" borderId="8" xfId="12" applyNumberFormat="1" applyFont="1" applyFill="1" applyBorder="1" applyAlignment="1" applyProtection="1">
      <alignment vertical="center"/>
      <protection hidden="1"/>
    </xf>
    <xf numFmtId="175" fontId="11" fillId="0" borderId="6" xfId="12" applyNumberFormat="1" applyFont="1" applyFill="1" applyBorder="1" applyAlignment="1" applyProtection="1">
      <alignment vertical="center"/>
      <protection hidden="1"/>
    </xf>
    <xf numFmtId="175" fontId="11" fillId="0" borderId="8" xfId="12" applyNumberFormat="1" applyFont="1" applyFill="1" applyBorder="1" applyAlignment="1" applyProtection="1">
      <alignment vertical="center"/>
      <protection hidden="1"/>
    </xf>
    <xf numFmtId="183" fontId="11" fillId="0" borderId="100" xfId="12" applyNumberFormat="1" applyFont="1" applyFill="1" applyBorder="1" applyAlignment="1" applyProtection="1">
      <alignment vertical="center"/>
      <protection hidden="1"/>
    </xf>
    <xf numFmtId="190" fontId="11" fillId="0" borderId="102" xfId="14" applyNumberFormat="1" applyFont="1" applyBorder="1" applyAlignment="1" applyProtection="1">
      <alignment horizontal="right" vertical="center"/>
      <protection hidden="1"/>
    </xf>
    <xf numFmtId="183" fontId="11" fillId="0" borderId="12" xfId="12" applyNumberFormat="1" applyFont="1" applyFill="1" applyBorder="1" applyAlignment="1" applyProtection="1">
      <alignment vertical="center"/>
      <protection hidden="1"/>
    </xf>
    <xf numFmtId="175" fontId="11" fillId="0" borderId="100" xfId="12" applyNumberFormat="1" applyFont="1" applyFill="1" applyBorder="1" applyAlignment="1" applyProtection="1">
      <alignment vertical="center"/>
      <protection hidden="1"/>
    </xf>
    <xf numFmtId="175" fontId="12" fillId="0" borderId="102" xfId="14" applyNumberFormat="1" applyFont="1" applyBorder="1" applyAlignment="1" applyProtection="1">
      <alignment horizontal="right" vertical="center"/>
      <protection hidden="1"/>
    </xf>
    <xf numFmtId="175" fontId="11" fillId="0" borderId="12" xfId="12" applyNumberFormat="1" applyFont="1" applyFill="1" applyBorder="1" applyAlignment="1" applyProtection="1">
      <alignment vertical="center"/>
      <protection hidden="1"/>
    </xf>
    <xf numFmtId="175" fontId="12" fillId="0" borderId="7" xfId="12" applyNumberFormat="1" applyFont="1" applyFill="1" applyBorder="1" applyAlignment="1" applyProtection="1">
      <alignment vertical="center"/>
      <protection hidden="1"/>
    </xf>
    <xf numFmtId="175" fontId="12" fillId="0" borderId="10" xfId="12" applyNumberFormat="1" applyFont="1" applyFill="1" applyBorder="1" applyAlignment="1" applyProtection="1">
      <alignment vertical="center"/>
      <protection hidden="1"/>
    </xf>
    <xf numFmtId="0" fontId="11" fillId="0" borderId="102" xfId="14" applyFont="1" applyBorder="1" applyProtection="1">
      <protection hidden="1"/>
    </xf>
    <xf numFmtId="183" fontId="11" fillId="0" borderId="100" xfId="14" applyNumberFormat="1" applyFont="1" applyBorder="1" applyAlignment="1" applyProtection="1">
      <alignment vertical="center"/>
      <protection hidden="1"/>
    </xf>
    <xf numFmtId="183" fontId="11" fillId="0" borderId="12" xfId="14" applyNumberFormat="1" applyFont="1" applyBorder="1" applyAlignment="1" applyProtection="1">
      <alignment vertical="center"/>
      <protection hidden="1"/>
    </xf>
    <xf numFmtId="0" fontId="11" fillId="0" borderId="100" xfId="12" applyFont="1" applyFill="1" applyBorder="1" applyAlignment="1" applyProtection="1">
      <alignment horizontal="left" vertical="center" indent="5"/>
      <protection hidden="1"/>
    </xf>
    <xf numFmtId="190" fontId="11" fillId="0" borderId="102" xfId="12" applyNumberFormat="1" applyFont="1" applyFill="1" applyBorder="1" applyProtection="1">
      <protection hidden="1"/>
    </xf>
    <xf numFmtId="190" fontId="11" fillId="0" borderId="7" xfId="12" applyNumberFormat="1" applyFont="1" applyFill="1" applyBorder="1" applyProtection="1">
      <protection hidden="1"/>
    </xf>
    <xf numFmtId="190" fontId="11" fillId="0" borderId="10" xfId="12" applyNumberFormat="1" applyFont="1" applyFill="1" applyBorder="1" applyProtection="1">
      <protection hidden="1"/>
    </xf>
    <xf numFmtId="190" fontId="11" fillId="0" borderId="8" xfId="12" applyNumberFormat="1" applyFont="1" applyFill="1" applyBorder="1" applyProtection="1">
      <protection hidden="1"/>
    </xf>
    <xf numFmtId="0" fontId="11" fillId="0" borderId="102" xfId="14" applyNumberFormat="1" applyFont="1" applyBorder="1" applyAlignment="1" applyProtection="1">
      <alignment horizontal="right" vertical="center"/>
      <protection hidden="1"/>
    </xf>
    <xf numFmtId="190" fontId="11" fillId="0" borderId="7" xfId="14" applyNumberFormat="1" applyFont="1" applyBorder="1" applyProtection="1">
      <protection hidden="1"/>
    </xf>
    <xf numFmtId="190" fontId="11" fillId="0" borderId="6" xfId="14" applyNumberFormat="1" applyFont="1" applyBorder="1" applyProtection="1">
      <protection hidden="1"/>
    </xf>
    <xf numFmtId="190" fontId="11" fillId="0" borderId="8" xfId="14" applyNumberFormat="1" applyFont="1" applyBorder="1" applyProtection="1">
      <protection hidden="1"/>
    </xf>
    <xf numFmtId="0" fontId="2" fillId="0" borderId="0" xfId="14"/>
    <xf numFmtId="190" fontId="11" fillId="0" borderId="0" xfId="12" applyNumberFormat="1" applyFont="1" applyFill="1" applyBorder="1" applyAlignment="1" applyProtection="1">
      <alignment horizontal="right" vertical="center"/>
      <protection hidden="1"/>
    </xf>
    <xf numFmtId="182" fontId="11" fillId="0" borderId="34" xfId="14" applyNumberFormat="1" applyFont="1" applyBorder="1" applyAlignment="1" applyProtection="1">
      <alignment vertical="center"/>
      <protection hidden="1"/>
    </xf>
    <xf numFmtId="0" fontId="12" fillId="0" borderId="73" xfId="14" applyFont="1" applyBorder="1" applyAlignment="1" applyProtection="1">
      <alignment horizontal="left" vertical="center"/>
      <protection hidden="1"/>
    </xf>
    <xf numFmtId="175" fontId="12" fillId="0" borderId="14" xfId="12" applyNumberFormat="1" applyFont="1" applyFill="1" applyBorder="1" applyAlignment="1" applyProtection="1">
      <alignment vertical="center"/>
      <protection hidden="1"/>
    </xf>
    <xf numFmtId="175" fontId="12" fillId="0" borderId="13" xfId="12" applyNumberFormat="1" applyFont="1" applyFill="1" applyBorder="1" applyAlignment="1" applyProtection="1">
      <alignment vertical="center"/>
      <protection hidden="1"/>
    </xf>
    <xf numFmtId="175" fontId="12" fillId="0" borderId="16" xfId="12" applyNumberFormat="1" applyFont="1" applyFill="1" applyBorder="1" applyAlignment="1" applyProtection="1">
      <alignment vertical="center"/>
      <protection hidden="1"/>
    </xf>
    <xf numFmtId="175" fontId="12" fillId="0" borderId="34" xfId="12" applyNumberFormat="1" applyFont="1" applyFill="1" applyBorder="1" applyAlignment="1" applyProtection="1">
      <alignment vertical="center"/>
      <protection hidden="1"/>
    </xf>
    <xf numFmtId="183" fontId="12" fillId="0" borderId="73" xfId="12" applyNumberFormat="1" applyFont="1" applyFill="1" applyBorder="1" applyAlignment="1" applyProtection="1">
      <alignment vertical="center"/>
      <protection hidden="1"/>
    </xf>
    <xf numFmtId="175" fontId="12" fillId="0" borderId="64" xfId="12" applyNumberFormat="1" applyFont="1" applyFill="1" applyBorder="1" applyAlignment="1" applyProtection="1">
      <alignment horizontal="right" vertical="center"/>
      <protection hidden="1"/>
    </xf>
    <xf numFmtId="183" fontId="12" fillId="0" borderId="18" xfId="12" applyNumberFormat="1" applyFont="1" applyFill="1" applyBorder="1" applyAlignment="1" applyProtection="1">
      <alignment vertical="center"/>
      <protection hidden="1"/>
    </xf>
    <xf numFmtId="0" fontId="2" fillId="0" borderId="0" xfId="14" applyAlignment="1">
      <alignment vertical="center"/>
    </xf>
    <xf numFmtId="0" fontId="11" fillId="0" borderId="0" xfId="14" applyFont="1" applyAlignment="1" applyProtection="1">
      <alignment vertical="center"/>
      <protection hidden="1"/>
    </xf>
    <xf numFmtId="0" fontId="11" fillId="0" borderId="0" xfId="14" applyFont="1" applyAlignment="1" applyProtection="1">
      <alignment horizontal="left" indent="1"/>
      <protection hidden="1"/>
    </xf>
    <xf numFmtId="175" fontId="11" fillId="0" borderId="58" xfId="12" applyNumberFormat="1" applyFont="1" applyFill="1" applyBorder="1" applyAlignment="1" applyProtection="1">
      <protection hidden="1"/>
    </xf>
    <xf numFmtId="175" fontId="11" fillId="0" borderId="0" xfId="12" applyNumberFormat="1" applyFont="1" applyFill="1" applyBorder="1" applyAlignment="1" applyProtection="1">
      <protection hidden="1"/>
    </xf>
    <xf numFmtId="0" fontId="12" fillId="0" borderId="0" xfId="14" applyFont="1" applyAlignment="1" applyProtection="1">
      <alignment horizontal="center"/>
      <protection hidden="1"/>
    </xf>
    <xf numFmtId="0" fontId="12" fillId="0" borderId="119" xfId="14" applyFont="1" applyBorder="1" applyAlignment="1" applyProtection="1">
      <alignment horizontal="center" vertical="center"/>
      <protection hidden="1"/>
    </xf>
    <xf numFmtId="0" fontId="12" fillId="0" borderId="111" xfId="14" applyFont="1" applyBorder="1" applyAlignment="1" applyProtection="1">
      <alignment horizontal="center" vertical="center"/>
      <protection hidden="1"/>
    </xf>
    <xf numFmtId="0" fontId="11" fillId="0" borderId="0" xfId="14" applyFont="1" applyAlignment="1" applyProtection="1">
      <alignment horizontal="center" vertical="center"/>
      <protection hidden="1"/>
    </xf>
    <xf numFmtId="0" fontId="2" fillId="0" borderId="0" xfId="14" applyAlignment="1">
      <alignment horizontal="center" vertical="center"/>
    </xf>
    <xf numFmtId="0" fontId="12" fillId="0" borderId="64" xfId="14" applyFont="1" applyBorder="1" applyAlignment="1" applyProtection="1">
      <alignment horizontal="left" vertical="center" indent="1"/>
      <protection hidden="1"/>
    </xf>
    <xf numFmtId="0" fontId="10" fillId="0" borderId="0" xfId="14" applyFont="1" applyProtection="1">
      <protection hidden="1"/>
    </xf>
    <xf numFmtId="175" fontId="8" fillId="0" borderId="111" xfId="11" applyNumberFormat="1" applyFont="1" applyFill="1" applyBorder="1" applyAlignment="1" applyProtection="1">
      <protection hidden="1"/>
    </xf>
    <xf numFmtId="175" fontId="11" fillId="0" borderId="7" xfId="14" applyNumberFormat="1" applyFont="1" applyBorder="1" applyProtection="1">
      <protection hidden="1"/>
    </xf>
    <xf numFmtId="175" fontId="8" fillId="0" borderId="117" xfId="11" applyNumberFormat="1" applyFont="1" applyFill="1" applyBorder="1" applyAlignment="1" applyProtection="1">
      <protection hidden="1"/>
    </xf>
    <xf numFmtId="175" fontId="8" fillId="0" borderId="117" xfId="12" applyNumberFormat="1" applyFont="1" applyFill="1" applyBorder="1" applyProtection="1">
      <protection hidden="1"/>
    </xf>
    <xf numFmtId="175" fontId="9" fillId="0" borderId="118" xfId="12" applyNumberFormat="1" applyFont="1" applyFill="1" applyBorder="1" applyAlignment="1" applyProtection="1">
      <protection hidden="1"/>
    </xf>
    <xf numFmtId="175" fontId="9" fillId="0" borderId="8" xfId="11" applyNumberFormat="1" applyFont="1" applyFill="1" applyBorder="1" applyAlignment="1" applyProtection="1">
      <protection hidden="1"/>
    </xf>
    <xf numFmtId="175" fontId="8" fillId="0" borderId="7" xfId="12" applyNumberFormat="1" applyFont="1" applyFill="1" applyBorder="1" applyAlignment="1" applyProtection="1">
      <protection hidden="1"/>
    </xf>
    <xf numFmtId="175" fontId="8" fillId="0" borderId="0" xfId="12" applyNumberFormat="1" applyFont="1" applyFill="1" applyBorder="1" applyAlignment="1" applyProtection="1">
      <protection hidden="1"/>
    </xf>
    <xf numFmtId="175" fontId="11" fillId="0" borderId="0" xfId="14" applyNumberFormat="1" applyFont="1" applyBorder="1" applyProtection="1">
      <protection hidden="1"/>
    </xf>
    <xf numFmtId="0" fontId="12" fillId="0" borderId="117" xfId="14" applyFont="1" applyFill="1" applyBorder="1" applyAlignment="1" applyProtection="1">
      <alignment horizontal="center" vertical="top" wrapText="1"/>
      <protection hidden="1"/>
    </xf>
    <xf numFmtId="0" fontId="8" fillId="9" borderId="0" xfId="0" applyFont="1" applyFill="1" applyAlignment="1" applyProtection="1">
      <alignment horizontal="center" vertical="center"/>
      <protection hidden="1"/>
    </xf>
    <xf numFmtId="188" fontId="12" fillId="0" borderId="42" xfId="8" quotePrefix="1" applyNumberFormat="1" applyFont="1" applyBorder="1" applyAlignment="1" applyProtection="1">
      <alignment horizontal="center" vertical="center"/>
      <protection hidden="1"/>
    </xf>
    <xf numFmtId="0" fontId="12" fillId="0" borderId="6" xfId="14" applyFont="1" applyBorder="1" applyAlignment="1" applyProtection="1">
      <alignment horizontal="center" vertical="center"/>
      <protection hidden="1"/>
    </xf>
    <xf numFmtId="188" fontId="12" fillId="0" borderId="10" xfId="14" quotePrefix="1" applyNumberFormat="1" applyFont="1" applyBorder="1" applyAlignment="1" applyProtection="1">
      <alignment horizontal="center" vertical="center"/>
      <protection hidden="1"/>
    </xf>
    <xf numFmtId="0" fontId="11" fillId="0" borderId="111" xfId="8" quotePrefix="1" applyNumberFormat="1" applyFont="1" applyBorder="1" applyAlignment="1" applyProtection="1">
      <protection hidden="1"/>
    </xf>
    <xf numFmtId="0" fontId="11" fillId="0" borderId="6" xfId="12" applyNumberFormat="1" applyFont="1" applyFill="1" applyBorder="1" applyAlignment="1" applyProtection="1">
      <protection hidden="1"/>
    </xf>
    <xf numFmtId="0" fontId="12" fillId="0" borderId="111" xfId="14" applyFont="1" applyFill="1" applyBorder="1" applyAlignment="1" applyProtection="1">
      <alignment horizontal="center" vertical="top" wrapText="1"/>
      <protection hidden="1"/>
    </xf>
    <xf numFmtId="0" fontId="11" fillId="0" borderId="11" xfId="8" quotePrefix="1" applyNumberFormat="1" applyFont="1" applyBorder="1" applyAlignment="1" applyProtection="1">
      <protection hidden="1"/>
    </xf>
    <xf numFmtId="0" fontId="11" fillId="0" borderId="11" xfId="12" applyNumberFormat="1" applyFont="1" applyFill="1" applyBorder="1" applyAlignment="1" applyProtection="1">
      <protection hidden="1"/>
    </xf>
    <xf numFmtId="0" fontId="11" fillId="0" borderId="11" xfId="14" applyNumberFormat="1" applyFont="1" applyBorder="1" applyAlignment="1" applyProtection="1">
      <protection hidden="1"/>
    </xf>
    <xf numFmtId="0" fontId="11" fillId="0" borderId="17" xfId="12" applyNumberFormat="1" applyFont="1" applyFill="1" applyBorder="1" applyAlignment="1" applyProtection="1">
      <protection hidden="1"/>
    </xf>
    <xf numFmtId="0" fontId="11" fillId="0" borderId="117" xfId="8" quotePrefix="1" applyNumberFormat="1" applyFont="1" applyBorder="1" applyAlignment="1" applyProtection="1">
      <protection hidden="1"/>
    </xf>
    <xf numFmtId="0" fontId="11" fillId="0" borderId="117" xfId="14" quotePrefix="1" applyNumberFormat="1" applyFont="1" applyBorder="1" applyAlignment="1" applyProtection="1">
      <protection hidden="1"/>
    </xf>
    <xf numFmtId="190" fontId="11" fillId="0" borderId="118" xfId="14" applyNumberFormat="1" applyFont="1" applyBorder="1" applyAlignment="1" applyProtection="1">
      <alignment horizontal="right" vertical="center"/>
      <protection hidden="1"/>
    </xf>
    <xf numFmtId="0" fontId="11" fillId="0" borderId="7" xfId="12" applyNumberFormat="1" applyFont="1" applyFill="1" applyBorder="1" applyAlignment="1" applyProtection="1">
      <protection hidden="1"/>
    </xf>
    <xf numFmtId="0" fontId="11" fillId="0" borderId="8" xfId="14" applyFont="1" applyBorder="1" applyAlignment="1" applyProtection="1">
      <alignment horizontal="right" vertical="center"/>
      <protection hidden="1"/>
    </xf>
    <xf numFmtId="190" fontId="11" fillId="0" borderId="8" xfId="14" applyNumberFormat="1" applyFont="1" applyBorder="1" applyAlignment="1" applyProtection="1">
      <alignment horizontal="right" vertical="center"/>
      <protection hidden="1"/>
    </xf>
    <xf numFmtId="175" fontId="12" fillId="0" borderId="8" xfId="14" applyNumberFormat="1" applyFont="1" applyBorder="1" applyAlignment="1" applyProtection="1">
      <alignment horizontal="right" vertical="center"/>
      <protection hidden="1"/>
    </xf>
    <xf numFmtId="0" fontId="11" fillId="0" borderId="7" xfId="14" applyNumberFormat="1" applyFont="1" applyBorder="1" applyAlignment="1" applyProtection="1">
      <protection hidden="1"/>
    </xf>
    <xf numFmtId="0" fontId="11" fillId="0" borderId="8" xfId="14" applyNumberFormat="1" applyFont="1" applyBorder="1" applyAlignment="1" applyProtection="1">
      <alignment horizontal="right" vertical="center"/>
      <protection hidden="1"/>
    </xf>
    <xf numFmtId="190" fontId="11" fillId="0" borderId="8" xfId="12" applyNumberFormat="1" applyFont="1" applyFill="1" applyBorder="1" applyAlignment="1" applyProtection="1">
      <alignment horizontal="right" vertical="center"/>
      <protection hidden="1"/>
    </xf>
    <xf numFmtId="0" fontId="11" fillId="0" borderId="13" xfId="12" applyNumberFormat="1" applyFont="1" applyFill="1" applyBorder="1" applyAlignment="1" applyProtection="1">
      <protection hidden="1"/>
    </xf>
    <xf numFmtId="175" fontId="12" fillId="0" borderId="16" xfId="12" applyNumberFormat="1" applyFont="1" applyFill="1" applyBorder="1" applyAlignment="1" applyProtection="1">
      <alignment horizontal="right" vertical="center"/>
      <protection hidden="1"/>
    </xf>
    <xf numFmtId="172" fontId="9" fillId="11" borderId="106" xfId="0" applyNumberFormat="1" applyFont="1" applyFill="1" applyBorder="1" applyAlignment="1" applyProtection="1">
      <alignment horizontal="right" vertical="center" indent="1"/>
      <protection hidden="1"/>
    </xf>
    <xf numFmtId="0" fontId="9" fillId="12" borderId="0" xfId="0" applyFont="1" applyFill="1" applyBorder="1" applyAlignment="1" applyProtection="1">
      <alignment horizontal="center" vertical="center" wrapText="1"/>
      <protection hidden="1"/>
    </xf>
    <xf numFmtId="0" fontId="8" fillId="12" borderId="58" xfId="4" applyFont="1" applyFill="1" applyBorder="1" applyProtection="1">
      <protection hidden="1"/>
    </xf>
    <xf numFmtId="0" fontId="8" fillId="12" borderId="108" xfId="4" applyFont="1" applyFill="1" applyBorder="1" applyProtection="1">
      <protection hidden="1"/>
    </xf>
    <xf numFmtId="188" fontId="9" fillId="7" borderId="15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7" borderId="64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7" borderId="34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7" borderId="17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12" borderId="34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12" borderId="13" xfId="0" quotePrefix="1" applyNumberFormat="1" applyFont="1" applyFill="1" applyBorder="1" applyAlignment="1" applyProtection="1">
      <alignment horizontal="center" vertical="center" wrapText="1"/>
      <protection hidden="1"/>
    </xf>
    <xf numFmtId="188" fontId="9" fillId="12" borderId="64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9" borderId="119" xfId="4" applyFont="1" applyFill="1" applyBorder="1" applyAlignment="1" applyProtection="1">
      <alignment vertical="top"/>
      <protection hidden="1"/>
    </xf>
    <xf numFmtId="0" fontId="9" fillId="5" borderId="106" xfId="0" applyNumberFormat="1" applyFont="1" applyFill="1" applyBorder="1" applyAlignment="1" applyProtection="1">
      <protection hidden="1"/>
    </xf>
    <xf numFmtId="172" fontId="8" fillId="5" borderId="106" xfId="4" applyNumberFormat="1" applyFont="1" applyFill="1" applyBorder="1" applyAlignment="1" applyProtection="1">
      <protection hidden="1"/>
    </xf>
    <xf numFmtId="172" fontId="9" fillId="5" borderId="106" xfId="4" applyNumberFormat="1" applyFont="1" applyFill="1" applyBorder="1" applyAlignment="1" applyProtection="1">
      <alignment horizontal="left" indent="1"/>
      <protection hidden="1"/>
    </xf>
    <xf numFmtId="0" fontId="8" fillId="5" borderId="106" xfId="4" applyFont="1" applyFill="1" applyBorder="1" applyAlignment="1" applyProtection="1">
      <alignment vertical="top"/>
      <protection hidden="1"/>
    </xf>
    <xf numFmtId="0" fontId="9" fillId="5" borderId="106" xfId="0" applyNumberFormat="1" applyFont="1" applyFill="1" applyBorder="1" applyAlignment="1" applyProtection="1">
      <alignment horizontal="right" vertical="center" indent="1"/>
      <protection hidden="1"/>
    </xf>
    <xf numFmtId="0" fontId="8" fillId="5" borderId="106" xfId="4" applyFont="1" applyFill="1" applyBorder="1" applyAlignment="1" applyProtection="1">
      <protection hidden="1"/>
    </xf>
    <xf numFmtId="0" fontId="8" fillId="5" borderId="107" xfId="4" applyFont="1" applyFill="1" applyBorder="1" applyAlignment="1" applyProtection="1">
      <alignment vertical="top"/>
      <protection hidden="1"/>
    </xf>
    <xf numFmtId="0" fontId="9" fillId="6" borderId="119" xfId="0" applyFont="1" applyFill="1" applyBorder="1" applyAlignment="1" applyProtection="1">
      <alignment horizontal="centerContinuous"/>
      <protection hidden="1"/>
    </xf>
    <xf numFmtId="172" fontId="8" fillId="6" borderId="106" xfId="0" applyNumberFormat="1" applyFont="1" applyFill="1" applyBorder="1" applyAlignment="1" applyProtection="1">
      <protection hidden="1"/>
    </xf>
    <xf numFmtId="172" fontId="9" fillId="6" borderId="107" xfId="0" applyNumberFormat="1" applyFont="1" applyFill="1" applyBorder="1" applyAlignment="1" applyProtection="1">
      <alignment horizontal="right" vertical="center" indent="1"/>
      <protection hidden="1"/>
    </xf>
    <xf numFmtId="0" fontId="8" fillId="18" borderId="107" xfId="4" applyFont="1" applyFill="1" applyBorder="1" applyAlignment="1" applyProtection="1">
      <alignment vertical="top"/>
      <protection hidden="1"/>
    </xf>
    <xf numFmtId="0" fontId="8" fillId="9" borderId="102" xfId="4" applyFont="1" applyFill="1" applyBorder="1" applyAlignment="1" applyProtection="1">
      <alignment vertical="top"/>
      <protection hidden="1"/>
    </xf>
    <xf numFmtId="0" fontId="9" fillId="6" borderId="102" xfId="0" applyFont="1" applyFill="1" applyBorder="1" applyAlignment="1" applyProtection="1">
      <alignment horizontal="centerContinuous"/>
      <protection hidden="1"/>
    </xf>
    <xf numFmtId="0" fontId="8" fillId="18" borderId="100" xfId="4" applyFont="1" applyFill="1" applyBorder="1" applyAlignment="1" applyProtection="1">
      <alignment vertical="top"/>
      <protection hidden="1"/>
    </xf>
    <xf numFmtId="172" fontId="8" fillId="9" borderId="102" xfId="4" applyNumberFormat="1" applyFont="1" applyFill="1" applyBorder="1" applyAlignment="1" applyProtection="1">
      <alignment vertical="center"/>
      <protection hidden="1"/>
    </xf>
    <xf numFmtId="0" fontId="8" fillId="9" borderId="102" xfId="4" applyFont="1" applyFill="1" applyBorder="1" applyAlignment="1" applyProtection="1">
      <protection hidden="1"/>
    </xf>
    <xf numFmtId="0" fontId="19" fillId="6" borderId="102" xfId="0" applyFont="1" applyFill="1" applyBorder="1" applyAlignment="1" applyProtection="1">
      <protection hidden="1"/>
    </xf>
    <xf numFmtId="0" fontId="8" fillId="18" borderId="100" xfId="4" applyFont="1" applyFill="1" applyBorder="1" applyAlignment="1" applyProtection="1">
      <protection hidden="1"/>
    </xf>
    <xf numFmtId="0" fontId="13" fillId="6" borderId="102" xfId="0" applyFont="1" applyFill="1" applyBorder="1" applyAlignment="1" applyProtection="1">
      <alignment vertical="center"/>
      <protection hidden="1"/>
    </xf>
    <xf numFmtId="0" fontId="13" fillId="6" borderId="102" xfId="0" applyFont="1" applyFill="1" applyBorder="1" applyAlignment="1" applyProtection="1">
      <protection hidden="1"/>
    </xf>
    <xf numFmtId="172" fontId="21" fillId="6" borderId="119" xfId="0" applyNumberFormat="1" applyFont="1" applyFill="1" applyBorder="1" applyAlignment="1" applyProtection="1">
      <alignment horizontal="center" vertical="top" wrapText="1"/>
      <protection hidden="1"/>
    </xf>
    <xf numFmtId="0" fontId="8" fillId="18" borderId="100" xfId="4" applyFont="1" applyFill="1" applyBorder="1" applyProtection="1">
      <protection hidden="1"/>
    </xf>
    <xf numFmtId="0" fontId="9" fillId="5" borderId="119" xfId="0" applyNumberFormat="1" applyFont="1" applyFill="1" applyBorder="1" applyAlignment="1" applyProtection="1">
      <alignment horizontal="center" vertical="top"/>
      <protection hidden="1"/>
    </xf>
    <xf numFmtId="0" fontId="9" fillId="5" borderId="118" xfId="0" applyNumberFormat="1" applyFont="1" applyFill="1" applyBorder="1" applyAlignment="1" applyProtection="1">
      <alignment horizontal="center" vertical="top"/>
      <protection hidden="1"/>
    </xf>
    <xf numFmtId="0" fontId="9" fillId="5" borderId="117" xfId="4" applyFont="1" applyFill="1" applyBorder="1" applyAlignment="1" applyProtection="1">
      <alignment horizontal="center" vertical="top"/>
      <protection hidden="1"/>
    </xf>
    <xf numFmtId="0" fontId="9" fillId="5" borderId="118" xfId="4" applyFont="1" applyFill="1" applyBorder="1" applyAlignment="1" applyProtection="1">
      <alignment horizontal="center" vertical="top"/>
      <protection hidden="1"/>
    </xf>
    <xf numFmtId="0" fontId="9" fillId="5" borderId="117" xfId="0" applyFont="1" applyFill="1" applyBorder="1" applyAlignment="1" applyProtection="1">
      <alignment horizontal="center" vertical="top" wrapText="1"/>
      <protection hidden="1"/>
    </xf>
    <xf numFmtId="0" fontId="9" fillId="5" borderId="119" xfId="0" applyFont="1" applyFill="1" applyBorder="1" applyAlignment="1" applyProtection="1">
      <alignment horizontal="center" vertical="top"/>
      <protection hidden="1"/>
    </xf>
    <xf numFmtId="0" fontId="9" fillId="5" borderId="118" xfId="0" applyFont="1" applyFill="1" applyBorder="1" applyAlignment="1" applyProtection="1">
      <alignment horizontal="center" vertical="top"/>
      <protection hidden="1"/>
    </xf>
    <xf numFmtId="0" fontId="8" fillId="7" borderId="102" xfId="4" applyFont="1" applyFill="1" applyBorder="1" applyProtection="1">
      <protection hidden="1"/>
    </xf>
    <xf numFmtId="0" fontId="9" fillId="5" borderId="102" xfId="0" applyFont="1" applyFill="1" applyBorder="1" applyAlignment="1" applyProtection="1">
      <alignment horizontal="center" vertical="center" wrapText="1"/>
      <protection hidden="1"/>
    </xf>
    <xf numFmtId="0" fontId="9" fillId="5" borderId="102" xfId="0" applyFont="1" applyFill="1" applyBorder="1" applyAlignment="1" applyProtection="1">
      <alignment horizontal="center" vertical="top" wrapText="1"/>
      <protection hidden="1"/>
    </xf>
    <xf numFmtId="180" fontId="18" fillId="5" borderId="112" xfId="4" applyNumberFormat="1" applyFont="1" applyFill="1" applyBorder="1" applyAlignment="1" applyProtection="1">
      <alignment vertical="center"/>
      <protection hidden="1"/>
    </xf>
    <xf numFmtId="180" fontId="9" fillId="7" borderId="31" xfId="4" applyNumberFormat="1" applyFont="1" applyFill="1" applyBorder="1" applyAlignment="1" applyProtection="1">
      <alignment vertical="center"/>
      <protection hidden="1"/>
    </xf>
    <xf numFmtId="176" fontId="8" fillId="12" borderId="110" xfId="4" applyNumberFormat="1" applyFont="1" applyFill="1" applyBorder="1" applyAlignment="1" applyProtection="1">
      <alignment vertical="center"/>
      <protection hidden="1"/>
    </xf>
    <xf numFmtId="176" fontId="8" fillId="12" borderId="112" xfId="4" applyNumberFormat="1" applyFont="1" applyFill="1" applyBorder="1" applyAlignment="1" applyProtection="1">
      <alignment vertical="center"/>
      <protection hidden="1"/>
    </xf>
    <xf numFmtId="178" fontId="8" fillId="9" borderId="117" xfId="7" applyNumberFormat="1" applyFont="1" applyFill="1" applyBorder="1" applyAlignment="1" applyProtection="1">
      <alignment vertical="center"/>
      <protection hidden="1"/>
    </xf>
    <xf numFmtId="180" fontId="18" fillId="9" borderId="110" xfId="4" applyNumberFormat="1" applyFont="1" applyFill="1" applyBorder="1" applyAlignment="1" applyProtection="1">
      <alignment vertical="center"/>
      <protection hidden="1"/>
    </xf>
    <xf numFmtId="180" fontId="9" fillId="9" borderId="117" xfId="4" applyNumberFormat="1" applyFont="1" applyFill="1" applyBorder="1" applyAlignment="1" applyProtection="1">
      <alignment vertical="center"/>
      <protection hidden="1"/>
    </xf>
    <xf numFmtId="180" fontId="9" fillId="9" borderId="110" xfId="4" applyNumberFormat="1" applyFont="1" applyFill="1" applyBorder="1" applyAlignment="1" applyProtection="1">
      <alignment vertical="center"/>
      <protection hidden="1"/>
    </xf>
    <xf numFmtId="180" fontId="18" fillId="9" borderId="119" xfId="4" applyNumberFormat="1" applyFont="1" applyFill="1" applyBorder="1" applyAlignment="1" applyProtection="1">
      <alignment vertical="center"/>
      <protection hidden="1"/>
    </xf>
    <xf numFmtId="180" fontId="9" fillId="9" borderId="107" xfId="4" applyNumberFormat="1" applyFont="1" applyFill="1" applyBorder="1" applyAlignment="1" applyProtection="1">
      <alignment vertical="center"/>
      <protection hidden="1"/>
    </xf>
    <xf numFmtId="180" fontId="8" fillId="0" borderId="118" xfId="4" applyNumberFormat="1" applyFont="1" applyFill="1" applyBorder="1" applyAlignment="1" applyProtection="1">
      <alignment vertical="center"/>
      <protection locked="0"/>
    </xf>
    <xf numFmtId="180" fontId="9" fillId="5" borderId="110" xfId="4" applyNumberFormat="1" applyFont="1" applyFill="1" applyBorder="1" applyAlignment="1" applyProtection="1">
      <alignment vertical="center"/>
      <protection hidden="1"/>
    </xf>
    <xf numFmtId="178" fontId="8" fillId="0" borderId="112" xfId="7" applyNumberFormat="1" applyFont="1" applyFill="1" applyBorder="1" applyAlignment="1" applyProtection="1">
      <alignment vertical="center"/>
      <protection locked="0"/>
    </xf>
    <xf numFmtId="0" fontId="8" fillId="7" borderId="118" xfId="4" applyNumberFormat="1" applyFont="1" applyFill="1" applyBorder="1" applyAlignment="1" applyProtection="1">
      <protection hidden="1"/>
    </xf>
    <xf numFmtId="176" fontId="7" fillId="5" borderId="102" xfId="4" applyNumberFormat="1" applyFont="1" applyFill="1" applyBorder="1" applyAlignment="1" applyProtection="1">
      <alignment horizontal="right" vertical="center" indent="1"/>
      <protection hidden="1"/>
    </xf>
    <xf numFmtId="172" fontId="8" fillId="5" borderId="112" xfId="7" applyNumberFormat="1" applyFont="1" applyFill="1" applyBorder="1" applyAlignment="1" applyProtection="1">
      <alignment vertical="center"/>
      <protection hidden="1"/>
    </xf>
    <xf numFmtId="172" fontId="8" fillId="5" borderId="114" xfId="7" applyNumberFormat="1" applyFont="1" applyFill="1" applyBorder="1" applyAlignment="1" applyProtection="1">
      <alignment vertical="center"/>
      <protection hidden="1"/>
    </xf>
    <xf numFmtId="172" fontId="8" fillId="5" borderId="117" xfId="7" applyNumberFormat="1" applyFont="1" applyFill="1" applyBorder="1" applyAlignment="1" applyProtection="1">
      <alignment vertical="center"/>
      <protection hidden="1"/>
    </xf>
    <xf numFmtId="0" fontId="8" fillId="5" borderId="116" xfId="4" applyFont="1" applyFill="1" applyBorder="1" applyProtection="1">
      <protection hidden="1"/>
    </xf>
    <xf numFmtId="172" fontId="8" fillId="5" borderId="112" xfId="7" applyNumberFormat="1" applyFont="1" applyFill="1" applyBorder="1" applyAlignment="1" applyProtection="1">
      <alignment vertical="center"/>
      <protection locked="0"/>
    </xf>
    <xf numFmtId="0" fontId="8" fillId="9" borderId="102" xfId="4" applyFont="1" applyFill="1" applyBorder="1" applyProtection="1">
      <protection hidden="1"/>
    </xf>
    <xf numFmtId="0" fontId="8" fillId="5" borderId="108" xfId="4" applyFont="1" applyFill="1" applyBorder="1" applyProtection="1">
      <protection hidden="1"/>
    </xf>
    <xf numFmtId="0" fontId="8" fillId="18" borderId="42" xfId="4" applyFont="1" applyFill="1" applyBorder="1" applyProtection="1">
      <protection hidden="1"/>
    </xf>
    <xf numFmtId="172" fontId="22" fillId="11" borderId="119" xfId="0" applyNumberFormat="1" applyFont="1" applyFill="1" applyBorder="1" applyAlignment="1" applyProtection="1">
      <alignment horizontal="center" vertical="top" wrapText="1"/>
      <protection hidden="1"/>
    </xf>
    <xf numFmtId="0" fontId="23" fillId="12" borderId="102" xfId="0" applyFont="1" applyFill="1" applyBorder="1" applyAlignment="1" applyProtection="1">
      <alignment horizontal="center" vertical="top" wrapText="1"/>
      <protection hidden="1"/>
    </xf>
    <xf numFmtId="0" fontId="22" fillId="12" borderId="102" xfId="0" applyFont="1" applyFill="1" applyBorder="1" applyAlignment="1" applyProtection="1">
      <alignment horizontal="center" vertical="top" wrapText="1"/>
      <protection hidden="1"/>
    </xf>
    <xf numFmtId="176" fontId="8" fillId="12" borderId="40" xfId="4" applyNumberFormat="1" applyFont="1" applyFill="1" applyBorder="1" applyAlignment="1" applyProtection="1">
      <alignment vertical="center"/>
      <protection hidden="1"/>
    </xf>
    <xf numFmtId="176" fontId="9" fillId="12" borderId="0" xfId="4" applyNumberFormat="1" applyFont="1" applyFill="1" applyBorder="1" applyAlignment="1" applyProtection="1">
      <alignment vertical="center"/>
      <protection hidden="1"/>
    </xf>
    <xf numFmtId="0" fontId="8" fillId="12" borderId="16" xfId="4" applyFont="1" applyFill="1" applyBorder="1" applyProtection="1">
      <protection hidden="1"/>
    </xf>
    <xf numFmtId="188" fontId="9" fillId="12" borderId="16" xfId="0" quotePrefix="1" applyNumberFormat="1" applyFont="1" applyFill="1" applyBorder="1" applyAlignment="1" applyProtection="1">
      <alignment horizontal="center" vertical="center" wrapText="1"/>
      <protection hidden="1"/>
    </xf>
    <xf numFmtId="180" fontId="9" fillId="12" borderId="57" xfId="4" applyNumberFormat="1" applyFont="1" applyFill="1" applyBorder="1" applyAlignment="1" applyProtection="1">
      <alignment vertical="center"/>
      <protection hidden="1"/>
    </xf>
    <xf numFmtId="0" fontId="8" fillId="12" borderId="47" xfId="4" applyFont="1" applyFill="1" applyBorder="1" applyProtection="1">
      <protection hidden="1"/>
    </xf>
    <xf numFmtId="0" fontId="8" fillId="12" borderId="62" xfId="4" applyFont="1" applyFill="1" applyBorder="1" applyProtection="1">
      <protection hidden="1"/>
    </xf>
    <xf numFmtId="180" fontId="9" fillId="12" borderId="40" xfId="4" applyNumberFormat="1" applyFont="1" applyFill="1" applyBorder="1" applyAlignment="1" applyProtection="1">
      <alignment vertical="center"/>
      <protection hidden="1"/>
    </xf>
    <xf numFmtId="180" fontId="9" fillId="12" borderId="14" xfId="4" applyNumberFormat="1" applyFont="1" applyFill="1" applyBorder="1" applyAlignment="1" applyProtection="1">
      <alignment vertical="center"/>
      <protection hidden="1"/>
    </xf>
    <xf numFmtId="0" fontId="8" fillId="12" borderId="102" xfId="4" applyFont="1" applyFill="1" applyBorder="1" applyProtection="1">
      <protection hidden="1"/>
    </xf>
    <xf numFmtId="180" fontId="9" fillId="12" borderId="54" xfId="4" applyNumberFormat="1" applyFont="1" applyFill="1" applyBorder="1" applyAlignment="1" applyProtection="1">
      <alignment vertical="center"/>
      <protection hidden="1"/>
    </xf>
    <xf numFmtId="0" fontId="8" fillId="12" borderId="40" xfId="4" applyFont="1" applyFill="1" applyBorder="1" applyProtection="1">
      <protection hidden="1"/>
    </xf>
    <xf numFmtId="0" fontId="9" fillId="12" borderId="8" xfId="0" applyFont="1" applyFill="1" applyBorder="1" applyAlignment="1" applyProtection="1">
      <alignment horizontal="center" vertical="center" wrapText="1"/>
      <protection hidden="1"/>
    </xf>
    <xf numFmtId="180" fontId="9" fillId="12" borderId="8" xfId="4" applyNumberFormat="1" applyFont="1" applyFill="1" applyBorder="1" applyAlignment="1" applyProtection="1">
      <alignment vertical="center"/>
      <protection hidden="1"/>
    </xf>
    <xf numFmtId="172" fontId="8" fillId="11" borderId="106" xfId="0" applyNumberFormat="1" applyFont="1" applyFill="1" applyBorder="1" applyAlignment="1" applyProtection="1">
      <protection hidden="1"/>
    </xf>
    <xf numFmtId="176" fontId="8" fillId="12" borderId="46" xfId="4" applyNumberFormat="1" applyFont="1" applyFill="1" applyBorder="1" applyAlignment="1" applyProtection="1">
      <alignment vertical="center"/>
      <protection hidden="1"/>
    </xf>
    <xf numFmtId="176" fontId="8" fillId="12" borderId="20" xfId="4" applyNumberFormat="1" applyFont="1" applyFill="1" applyBorder="1" applyAlignment="1" applyProtection="1">
      <alignment vertical="center"/>
      <protection hidden="1"/>
    </xf>
    <xf numFmtId="176" fontId="8" fillId="12" borderId="82" xfId="4" applyNumberFormat="1" applyFont="1" applyFill="1" applyBorder="1" applyAlignment="1" applyProtection="1">
      <alignment vertical="center"/>
      <protection hidden="1"/>
    </xf>
    <xf numFmtId="0" fontId="8" fillId="12" borderId="48" xfId="4" applyFont="1" applyFill="1" applyBorder="1" applyProtection="1">
      <protection hidden="1"/>
    </xf>
    <xf numFmtId="0" fontId="8" fillId="12" borderId="25" xfId="4" applyNumberFormat="1" applyFont="1" applyFill="1" applyBorder="1" applyAlignment="1" applyProtection="1">
      <protection hidden="1"/>
    </xf>
    <xf numFmtId="0" fontId="8" fillId="12" borderId="8" xfId="4" applyNumberFormat="1" applyFont="1" applyFill="1" applyBorder="1" applyAlignment="1" applyProtection="1">
      <protection hidden="1"/>
    </xf>
    <xf numFmtId="0" fontId="8" fillId="12" borderId="16" xfId="4" applyNumberFormat="1" applyFont="1" applyFill="1" applyBorder="1" applyAlignment="1" applyProtection="1">
      <protection hidden="1"/>
    </xf>
    <xf numFmtId="180" fontId="8" fillId="12" borderId="40" xfId="4" applyNumberFormat="1" applyFont="1" applyFill="1" applyBorder="1" applyAlignment="1" applyProtection="1">
      <alignment vertical="center"/>
      <protection hidden="1"/>
    </xf>
    <xf numFmtId="180" fontId="8" fillId="12" borderId="33" xfId="4" applyNumberFormat="1" applyFont="1" applyFill="1" applyBorder="1" applyAlignment="1" applyProtection="1">
      <alignment vertical="center"/>
      <protection hidden="1"/>
    </xf>
    <xf numFmtId="180" fontId="8" fillId="12" borderId="8" xfId="4" applyNumberFormat="1" applyFont="1" applyFill="1" applyBorder="1" applyAlignment="1" applyProtection="1">
      <alignment vertical="center"/>
      <protection hidden="1"/>
    </xf>
    <xf numFmtId="176" fontId="8" fillId="7" borderId="33" xfId="4" applyNumberFormat="1" applyFont="1" applyFill="1" applyBorder="1" applyAlignment="1" applyProtection="1">
      <alignment vertical="center"/>
      <protection hidden="1"/>
    </xf>
    <xf numFmtId="0" fontId="9" fillId="9" borderId="18" xfId="5" applyFont="1" applyFill="1" applyBorder="1" applyAlignment="1" applyProtection="1">
      <alignment horizontal="left" vertical="center" indent="1"/>
      <protection hidden="1"/>
    </xf>
    <xf numFmtId="178" fontId="8" fillId="5" borderId="120" xfId="0" applyNumberFormat="1" applyFont="1" applyFill="1" applyBorder="1" applyAlignment="1" applyProtection="1">
      <alignment vertical="center"/>
      <protection hidden="1"/>
    </xf>
    <xf numFmtId="178" fontId="8" fillId="5" borderId="120" xfId="0" applyNumberFormat="1" applyFont="1" applyFill="1" applyBorder="1" applyAlignment="1" applyProtection="1">
      <alignment vertical="center"/>
      <protection locked="0"/>
    </xf>
    <xf numFmtId="180" fontId="18" fillId="5" borderId="121" xfId="0" applyNumberFormat="1" applyFont="1" applyFill="1" applyBorder="1" applyAlignment="1" applyProtection="1">
      <alignment vertical="center"/>
      <protection hidden="1"/>
    </xf>
    <xf numFmtId="0" fontId="19" fillId="9" borderId="0" xfId="0" applyFont="1" applyFill="1" applyBorder="1" applyAlignment="1" applyProtection="1">
      <protection hidden="1"/>
    </xf>
    <xf numFmtId="175" fontId="9" fillId="5" borderId="122" xfId="0" applyNumberFormat="1" applyFont="1" applyFill="1" applyBorder="1" applyAlignment="1" applyProtection="1">
      <alignment vertical="center"/>
      <protection hidden="1"/>
    </xf>
    <xf numFmtId="0" fontId="8" fillId="5" borderId="10" xfId="0" applyNumberFormat="1" applyFont="1" applyFill="1" applyBorder="1" applyAlignment="1" applyProtection="1">
      <protection hidden="1"/>
    </xf>
    <xf numFmtId="0" fontId="8" fillId="9" borderId="10" xfId="0" applyNumberFormat="1" applyFont="1" applyFill="1" applyBorder="1" applyAlignment="1" applyProtection="1">
      <protection hidden="1"/>
    </xf>
    <xf numFmtId="0" fontId="8" fillId="9" borderId="10" xfId="0" quotePrefix="1" applyNumberFormat="1" applyFont="1" applyFill="1" applyBorder="1" applyAlignment="1" applyProtection="1">
      <protection hidden="1"/>
    </xf>
    <xf numFmtId="0" fontId="9" fillId="4" borderId="123" xfId="0" applyFont="1" applyFill="1" applyBorder="1" applyAlignment="1" applyProtection="1">
      <alignment horizontal="center" vertical="top"/>
      <protection hidden="1"/>
    </xf>
    <xf numFmtId="0" fontId="9" fillId="4" borderId="100" xfId="0" applyFont="1" applyFill="1" applyBorder="1" applyAlignment="1" applyProtection="1">
      <alignment horizontal="center" vertical="center"/>
      <protection hidden="1"/>
    </xf>
    <xf numFmtId="169" fontId="8" fillId="4" borderId="108" xfId="0" applyNumberFormat="1" applyFont="1" applyFill="1" applyBorder="1" applyAlignment="1" applyProtection="1">
      <alignment vertical="center"/>
      <protection hidden="1"/>
    </xf>
    <xf numFmtId="178" fontId="8" fillId="0" borderId="53" xfId="0" applyNumberFormat="1" applyFont="1" applyFill="1" applyBorder="1" applyAlignment="1" applyProtection="1">
      <alignment vertical="center"/>
      <protection locked="0"/>
    </xf>
    <xf numFmtId="180" fontId="9" fillId="4" borderId="11" xfId="0" applyNumberFormat="1" applyFont="1" applyFill="1" applyBorder="1" applyAlignment="1" applyProtection="1">
      <alignment vertical="center"/>
      <protection hidden="1"/>
    </xf>
    <xf numFmtId="0" fontId="8" fillId="19" borderId="0" xfId="4" applyFont="1" applyFill="1" applyProtection="1">
      <protection hidden="1"/>
    </xf>
    <xf numFmtId="0" fontId="8" fillId="19" borderId="0" xfId="4" applyFont="1" applyFill="1" applyBorder="1" applyProtection="1">
      <protection hidden="1"/>
    </xf>
    <xf numFmtId="0" fontId="8" fillId="19" borderId="0" xfId="4" applyFont="1" applyFill="1" applyAlignment="1" applyProtection="1">
      <alignment vertical="top"/>
      <protection hidden="1"/>
    </xf>
    <xf numFmtId="0" fontId="8" fillId="19" borderId="0" xfId="4" applyFont="1" applyFill="1" applyAlignment="1" applyProtection="1">
      <protection hidden="1"/>
    </xf>
    <xf numFmtId="170" fontId="8" fillId="19" borderId="0" xfId="0" applyNumberFormat="1" applyFont="1" applyFill="1" applyBorder="1" applyAlignment="1" applyProtection="1">
      <alignment vertical="center"/>
      <protection hidden="1"/>
    </xf>
    <xf numFmtId="170" fontId="8" fillId="19" borderId="0" xfId="0" applyNumberFormat="1" applyFont="1" applyFill="1" applyBorder="1" applyProtection="1">
      <protection hidden="1"/>
    </xf>
    <xf numFmtId="0" fontId="8" fillId="19" borderId="0" xfId="0" applyFont="1" applyFill="1" applyBorder="1" applyProtection="1">
      <protection hidden="1"/>
    </xf>
    <xf numFmtId="182" fontId="8" fillId="19" borderId="0" xfId="0" applyNumberFormat="1" applyFont="1" applyFill="1" applyBorder="1" applyAlignment="1" applyProtection="1">
      <alignment vertical="center"/>
      <protection hidden="1"/>
    </xf>
    <xf numFmtId="0" fontId="8" fillId="19" borderId="0" xfId="0" applyFont="1" applyFill="1" applyProtection="1">
      <protection hidden="1"/>
    </xf>
    <xf numFmtId="0" fontId="9" fillId="19" borderId="0" xfId="0" applyFont="1" applyFill="1" applyAlignment="1" applyProtection="1">
      <alignment horizontal="center" vertical="top" wrapText="1"/>
      <protection hidden="1"/>
    </xf>
    <xf numFmtId="0" fontId="9" fillId="19" borderId="0" xfId="0" applyFont="1" applyFill="1" applyProtection="1">
      <protection hidden="1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quotePrefix="1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top" wrapText="1"/>
      <protection hidden="1"/>
    </xf>
    <xf numFmtId="0" fontId="8" fillId="19" borderId="0" xfId="0" applyFont="1" applyFill="1" applyAlignment="1" applyProtection="1">
      <protection hidden="1"/>
    </xf>
    <xf numFmtId="0" fontId="8" fillId="19" borderId="0" xfId="0" applyFont="1" applyFill="1" applyBorder="1" applyAlignment="1" applyProtection="1">
      <protection hidden="1"/>
    </xf>
    <xf numFmtId="187" fontId="8" fillId="19" borderId="0" xfId="0" applyNumberFormat="1" applyFont="1" applyFill="1" applyProtection="1">
      <protection hidden="1"/>
    </xf>
    <xf numFmtId="0" fontId="8" fillId="19" borderId="0" xfId="9" applyFont="1" applyFill="1" applyProtection="1">
      <protection hidden="1"/>
    </xf>
    <xf numFmtId="0" fontId="8" fillId="19" borderId="0" xfId="9" applyFont="1" applyFill="1" applyAlignment="1" applyProtection="1">
      <protection hidden="1"/>
    </xf>
    <xf numFmtId="0" fontId="8" fillId="19" borderId="0" xfId="9" applyFont="1" applyFill="1" applyAlignment="1" applyProtection="1">
      <alignment vertical="top"/>
      <protection hidden="1"/>
    </xf>
    <xf numFmtId="0" fontId="9" fillId="19" borderId="0" xfId="0" applyFont="1" applyFill="1" applyAlignment="1" applyProtection="1">
      <protection hidden="1"/>
    </xf>
    <xf numFmtId="2" fontId="8" fillId="19" borderId="0" xfId="0" applyNumberFormat="1" applyFont="1" applyFill="1" applyAlignment="1" applyProtection="1">
      <alignment horizontal="center" vertical="center"/>
      <protection hidden="1"/>
    </xf>
    <xf numFmtId="0" fontId="8" fillId="19" borderId="0" xfId="0" quotePrefix="1" applyNumberFormat="1" applyFont="1" applyFill="1" applyAlignment="1" applyProtection="1">
      <protection hidden="1"/>
    </xf>
    <xf numFmtId="0" fontId="8" fillId="19" borderId="0" xfId="9" applyFont="1" applyFill="1" applyAlignment="1" applyProtection="1">
      <alignment horizontal="center" vertical="center"/>
      <protection hidden="1"/>
    </xf>
    <xf numFmtId="0" fontId="8" fillId="19" borderId="0" xfId="9" applyFont="1" applyFill="1" applyAlignment="1" applyProtection="1">
      <alignment vertical="center"/>
      <protection hidden="1"/>
    </xf>
    <xf numFmtId="0" fontId="8" fillId="19" borderId="0" xfId="9" applyFont="1" applyFill="1" applyAlignment="1" applyProtection="1">
      <alignment horizontal="center"/>
      <protection hidden="1"/>
    </xf>
    <xf numFmtId="0" fontId="0" fillId="19" borderId="0" xfId="0" applyFill="1"/>
    <xf numFmtId="0" fontId="9" fillId="19" borderId="0" xfId="0" applyFont="1" applyFill="1" applyAlignment="1" applyProtection="1">
      <alignment wrapText="1"/>
      <protection hidden="1"/>
    </xf>
    <xf numFmtId="0" fontId="9" fillId="19" borderId="0" xfId="0" applyFont="1" applyFill="1" applyAlignment="1" applyProtection="1">
      <alignment vertical="top"/>
      <protection hidden="1"/>
    </xf>
    <xf numFmtId="0" fontId="8" fillId="19" borderId="0" xfId="0" applyFont="1" applyFill="1" applyAlignment="1" applyProtection="1">
      <alignment horizontal="center" wrapText="1"/>
      <protection hidden="1"/>
    </xf>
    <xf numFmtId="0" fontId="8" fillId="19" borderId="0" xfId="0" applyNumberFormat="1" applyFont="1" applyFill="1" applyAlignment="1" applyProtection="1"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8" fillId="19" borderId="0" xfId="0" applyNumberFormat="1" applyFont="1" applyFill="1" applyBorder="1" applyProtection="1">
      <protection hidden="1"/>
    </xf>
    <xf numFmtId="172" fontId="8" fillId="19" borderId="0" xfId="0" applyNumberFormat="1" applyFont="1" applyFill="1" applyProtection="1">
      <protection hidden="1"/>
    </xf>
    <xf numFmtId="0" fontId="8" fillId="19" borderId="0" xfId="0" applyFont="1" applyFill="1" applyAlignment="1" applyProtection="1">
      <alignment vertical="top"/>
      <protection hidden="1"/>
    </xf>
    <xf numFmtId="0" fontId="11" fillId="0" borderId="13" xfId="14" applyNumberFormat="1" applyFont="1" applyFill="1" applyBorder="1" applyAlignment="1" applyProtection="1">
      <protection hidden="1"/>
    </xf>
    <xf numFmtId="0" fontId="11" fillId="0" borderId="0" xfId="14" applyNumberFormat="1" applyFont="1" applyFill="1" applyAlignment="1" applyProtection="1">
      <protection hidden="1"/>
    </xf>
    <xf numFmtId="0" fontId="8" fillId="0" borderId="0" xfId="12" applyNumberFormat="1" applyFont="1" applyFill="1" applyBorder="1" applyProtection="1">
      <protection hidden="1"/>
    </xf>
    <xf numFmtId="0" fontId="8" fillId="0" borderId="0" xfId="11" applyNumberFormat="1" applyFont="1" applyFill="1" applyBorder="1" applyAlignment="1" applyProtection="1">
      <protection hidden="1"/>
    </xf>
    <xf numFmtId="0" fontId="8" fillId="0" borderId="0" xfId="12" applyNumberFormat="1" applyFont="1" applyFill="1" applyBorder="1" applyAlignment="1" applyProtection="1">
      <protection hidden="1"/>
    </xf>
    <xf numFmtId="0" fontId="8" fillId="9" borderId="0" xfId="12" applyFont="1" applyFill="1" applyProtection="1">
      <protection hidden="1"/>
    </xf>
    <xf numFmtId="0" fontId="26" fillId="5" borderId="0" xfId="12" applyFont="1" applyFill="1" applyAlignment="1" applyProtection="1">
      <alignment vertical="center"/>
      <protection hidden="1"/>
    </xf>
    <xf numFmtId="0" fontId="8" fillId="5" borderId="0" xfId="12" applyFont="1" applyFill="1" applyAlignment="1" applyProtection="1">
      <protection hidden="1"/>
    </xf>
    <xf numFmtId="0" fontId="8" fillId="19" borderId="0" xfId="12" applyFont="1" applyFill="1" applyProtection="1">
      <protection hidden="1"/>
    </xf>
    <xf numFmtId="0" fontId="8" fillId="9" borderId="119" xfId="12" applyFont="1" applyFill="1" applyBorder="1" applyAlignment="1" applyProtection="1">
      <alignment vertical="center"/>
      <protection hidden="1"/>
    </xf>
    <xf numFmtId="0" fontId="9" fillId="5" borderId="106" xfId="12" applyNumberFormat="1" applyFont="1" applyFill="1" applyBorder="1" applyAlignment="1" applyProtection="1">
      <protection hidden="1"/>
    </xf>
    <xf numFmtId="0" fontId="9" fillId="5" borderId="106" xfId="12" applyFont="1" applyFill="1" applyBorder="1" applyAlignment="1" applyProtection="1">
      <alignment horizontal="center" vertical="center" wrapText="1"/>
      <protection hidden="1"/>
    </xf>
    <xf numFmtId="0" fontId="8" fillId="9" borderId="106" xfId="12" applyFont="1" applyFill="1" applyBorder="1" applyAlignment="1" applyProtection="1">
      <alignment vertical="center"/>
      <protection hidden="1"/>
    </xf>
    <xf numFmtId="0" fontId="8" fillId="5" borderId="106" xfId="12" applyNumberFormat="1" applyFont="1" applyFill="1" applyBorder="1" applyAlignment="1" applyProtection="1">
      <protection hidden="1"/>
    </xf>
    <xf numFmtId="0" fontId="8" fillId="9" borderId="123" xfId="12" applyFont="1" applyFill="1" applyBorder="1" applyAlignment="1" applyProtection="1">
      <alignment vertical="center"/>
      <protection hidden="1"/>
    </xf>
    <xf numFmtId="0" fontId="8" fillId="19" borderId="0" xfId="12" applyFont="1" applyFill="1" applyAlignment="1" applyProtection="1">
      <alignment vertical="center"/>
      <protection hidden="1"/>
    </xf>
    <xf numFmtId="0" fontId="8" fillId="9" borderId="102" xfId="12" applyFont="1" applyFill="1" applyBorder="1" applyProtection="1">
      <protection hidden="1"/>
    </xf>
    <xf numFmtId="0" fontId="9" fillId="4" borderId="0" xfId="12" applyFont="1" applyFill="1" applyBorder="1" applyAlignment="1" applyProtection="1">
      <alignment horizontal="left" vertical="center"/>
      <protection hidden="1"/>
    </xf>
    <xf numFmtId="0" fontId="8" fillId="9" borderId="0" xfId="12" applyFont="1" applyFill="1" applyBorder="1" applyProtection="1">
      <protection hidden="1"/>
    </xf>
    <xf numFmtId="0" fontId="8" fillId="4" borderId="0" xfId="12" applyFont="1" applyFill="1" applyBorder="1" applyAlignment="1" applyProtection="1">
      <protection hidden="1"/>
    </xf>
    <xf numFmtId="0" fontId="8" fillId="9" borderId="100" xfId="12" applyFont="1" applyFill="1" applyBorder="1" applyProtection="1">
      <protection hidden="1"/>
    </xf>
    <xf numFmtId="0" fontId="9" fillId="0" borderId="31" xfId="12" applyNumberFormat="1" applyFont="1" applyFill="1" applyBorder="1" applyAlignment="1" applyProtection="1">
      <alignment horizontal="left" vertical="center" indent="1"/>
      <protection hidden="1"/>
    </xf>
    <xf numFmtId="0" fontId="15" fillId="10" borderId="0" xfId="12" applyFont="1" applyFill="1" applyBorder="1" applyAlignment="1" applyProtection="1">
      <alignment horizontal="center" vertical="center"/>
      <protection hidden="1"/>
    </xf>
    <xf numFmtId="0" fontId="8" fillId="9" borderId="0" xfId="12" applyNumberFormat="1" applyFont="1" applyFill="1" applyBorder="1" applyAlignment="1" applyProtection="1">
      <protection hidden="1"/>
    </xf>
    <xf numFmtId="0" fontId="8" fillId="9" borderId="102" xfId="12" applyFont="1" applyFill="1" applyBorder="1" applyAlignment="1" applyProtection="1">
      <protection hidden="1"/>
    </xf>
    <xf numFmtId="0" fontId="9" fillId="4" borderId="0" xfId="12" applyFont="1" applyFill="1" applyBorder="1" applyAlignment="1" applyProtection="1">
      <protection hidden="1"/>
    </xf>
    <xf numFmtId="0" fontId="8" fillId="5" borderId="0" xfId="12" applyFont="1" applyFill="1" applyBorder="1" applyAlignment="1" applyProtection="1">
      <alignment horizontal="center" vertical="center" wrapText="1"/>
      <protection hidden="1"/>
    </xf>
    <xf numFmtId="0" fontId="8" fillId="9" borderId="0" xfId="12" applyFont="1" applyFill="1" applyBorder="1" applyAlignment="1" applyProtection="1">
      <protection hidden="1"/>
    </xf>
    <xf numFmtId="0" fontId="9" fillId="4" borderId="0" xfId="12" applyFont="1" applyFill="1" applyBorder="1" applyAlignment="1" applyProtection="1">
      <alignment horizontal="left"/>
      <protection hidden="1"/>
    </xf>
    <xf numFmtId="0" fontId="8" fillId="9" borderId="100" xfId="12" applyFont="1" applyFill="1" applyBorder="1" applyAlignment="1" applyProtection="1">
      <protection hidden="1"/>
    </xf>
    <xf numFmtId="0" fontId="8" fillId="19" borderId="0" xfId="12" applyFont="1" applyFill="1" applyAlignment="1" applyProtection="1">
      <protection hidden="1"/>
    </xf>
    <xf numFmtId="0" fontId="8" fillId="5" borderId="64" xfId="12" applyFont="1" applyFill="1" applyBorder="1" applyAlignment="1" applyProtection="1">
      <alignment vertical="center"/>
      <protection hidden="1"/>
    </xf>
    <xf numFmtId="0" fontId="15" fillId="4" borderId="0" xfId="12" applyFont="1" applyFill="1" applyBorder="1" applyAlignment="1" applyProtection="1">
      <alignment horizontal="center" vertical="center"/>
      <protection hidden="1"/>
    </xf>
    <xf numFmtId="0" fontId="9" fillId="5" borderId="12" xfId="12" applyFont="1" applyFill="1" applyBorder="1" applyAlignment="1" applyProtection="1">
      <alignment horizontal="left" vertical="center" indent="1"/>
      <protection hidden="1"/>
    </xf>
    <xf numFmtId="172" fontId="9" fillId="5" borderId="26" xfId="12" applyNumberFormat="1" applyFont="1" applyFill="1" applyBorder="1" applyAlignment="1" applyProtection="1">
      <alignment horizontal="center" vertical="top" wrapText="1"/>
      <protection hidden="1"/>
    </xf>
    <xf numFmtId="0" fontId="9" fillId="5" borderId="26" xfId="12" applyFont="1" applyFill="1" applyBorder="1" applyAlignment="1" applyProtection="1">
      <alignment horizontal="left" vertical="center" indent="1"/>
      <protection hidden="1"/>
    </xf>
    <xf numFmtId="0" fontId="8" fillId="5" borderId="12" xfId="12" applyFont="1" applyFill="1" applyBorder="1" applyAlignment="1" applyProtection="1">
      <protection hidden="1"/>
    </xf>
    <xf numFmtId="172" fontId="9" fillId="5" borderId="12" xfId="12" applyNumberFormat="1" applyFont="1" applyFill="1" applyBorder="1" applyAlignment="1" applyProtection="1">
      <alignment horizontal="center" vertical="center"/>
      <protection hidden="1"/>
    </xf>
    <xf numFmtId="0" fontId="20" fillId="5" borderId="12" xfId="12" applyFont="1" applyFill="1" applyBorder="1" applyAlignment="1" applyProtection="1">
      <alignment vertical="center"/>
      <protection hidden="1"/>
    </xf>
    <xf numFmtId="165" fontId="20" fillId="5" borderId="18" xfId="12" applyNumberFormat="1" applyFont="1" applyFill="1" applyBorder="1" applyAlignment="1" applyProtection="1">
      <protection hidden="1"/>
    </xf>
    <xf numFmtId="188" fontId="9" fillId="5" borderId="18" xfId="12" quotePrefix="1" applyNumberFormat="1" applyFont="1" applyFill="1" applyBorder="1" applyAlignment="1" applyProtection="1">
      <alignment horizontal="center" vertical="center"/>
      <protection hidden="1"/>
    </xf>
    <xf numFmtId="0" fontId="8" fillId="9" borderId="0" xfId="12" quotePrefix="1" applyNumberFormat="1" applyFont="1" applyFill="1" applyBorder="1" applyAlignment="1" applyProtection="1">
      <protection hidden="1"/>
    </xf>
    <xf numFmtId="178" fontId="7" fillId="0" borderId="12" xfId="12" applyNumberFormat="1" applyFont="1" applyFill="1" applyBorder="1" applyAlignment="1" applyProtection="1">
      <alignment vertical="center"/>
      <protection locked="0"/>
    </xf>
    <xf numFmtId="178" fontId="7" fillId="0" borderId="43" xfId="12" applyNumberFormat="1" applyFont="1" applyFill="1" applyBorder="1" applyAlignment="1" applyProtection="1">
      <alignment vertical="center"/>
      <protection locked="0"/>
    </xf>
    <xf numFmtId="0" fontId="8" fillId="0" borderId="93" xfId="5" applyNumberFormat="1" applyFont="1" applyFill="1" applyBorder="1" applyAlignment="1" applyProtection="1">
      <alignment horizontal="left" vertical="center" wrapText="1" indent="1"/>
      <protection locked="0"/>
    </xf>
    <xf numFmtId="178" fontId="7" fillId="0" borderId="93" xfId="12" applyNumberFormat="1" applyFont="1" applyFill="1" applyBorder="1" applyAlignment="1" applyProtection="1">
      <alignment vertical="center"/>
      <protection locked="0"/>
    </xf>
    <xf numFmtId="0" fontId="9" fillId="9" borderId="59" xfId="5" applyFont="1" applyFill="1" applyBorder="1" applyAlignment="1" applyProtection="1">
      <alignment horizontal="left" vertical="center" indent="1"/>
      <protection hidden="1"/>
    </xf>
    <xf numFmtId="180" fontId="18" fillId="5" borderId="59" xfId="12" applyNumberFormat="1" applyFont="1" applyFill="1" applyBorder="1" applyAlignment="1" applyProtection="1">
      <alignment vertical="center"/>
      <protection hidden="1"/>
    </xf>
    <xf numFmtId="0" fontId="7" fillId="5" borderId="0" xfId="12" applyNumberFormat="1" applyFont="1" applyFill="1" applyBorder="1" applyAlignment="1" applyProtection="1">
      <protection hidden="1"/>
    </xf>
    <xf numFmtId="0" fontId="9" fillId="9" borderId="43" xfId="12" applyFont="1" applyFill="1" applyBorder="1" applyAlignment="1" applyProtection="1">
      <alignment horizontal="left" vertical="center" indent="1"/>
      <protection hidden="1"/>
    </xf>
    <xf numFmtId="0" fontId="9" fillId="9" borderId="93" xfId="5" applyFont="1" applyFill="1" applyBorder="1" applyAlignment="1" applyProtection="1">
      <alignment horizontal="left" vertical="center" indent="1"/>
      <protection hidden="1"/>
    </xf>
    <xf numFmtId="0" fontId="9" fillId="9" borderId="18" xfId="12" applyFont="1" applyFill="1" applyBorder="1" applyAlignment="1" applyProtection="1">
      <alignment horizontal="left" vertical="center" indent="1"/>
      <protection hidden="1"/>
    </xf>
    <xf numFmtId="180" fontId="18" fillId="5" borderId="93" xfId="12" applyNumberFormat="1" applyFont="1" applyFill="1" applyBorder="1" applyAlignment="1" applyProtection="1">
      <alignment vertical="center"/>
      <protection hidden="1"/>
    </xf>
    <xf numFmtId="0" fontId="9" fillId="9" borderId="0" xfId="5" applyFont="1" applyFill="1" applyBorder="1" applyAlignment="1" applyProtection="1">
      <alignment horizontal="left" vertical="center" indent="1"/>
      <protection hidden="1"/>
    </xf>
    <xf numFmtId="180" fontId="18" fillId="5" borderId="0" xfId="12" applyNumberFormat="1" applyFont="1" applyFill="1" applyBorder="1" applyAlignment="1" applyProtection="1">
      <alignment vertical="center"/>
      <protection hidden="1"/>
    </xf>
    <xf numFmtId="0" fontId="8" fillId="10" borderId="0" xfId="12" applyFont="1" applyFill="1" applyBorder="1" applyAlignment="1" applyProtection="1">
      <protection hidden="1"/>
    </xf>
    <xf numFmtId="0" fontId="8" fillId="9" borderId="62" xfId="12" applyNumberFormat="1" applyFont="1" applyFill="1" applyBorder="1" applyAlignment="1" applyProtection="1">
      <protection hidden="1"/>
    </xf>
    <xf numFmtId="0" fontId="8" fillId="9" borderId="108" xfId="12" applyNumberFormat="1" applyFont="1" applyFill="1" applyBorder="1" applyAlignment="1" applyProtection="1">
      <protection hidden="1"/>
    </xf>
    <xf numFmtId="0" fontId="8" fillId="9" borderId="42" xfId="12" applyNumberFormat="1" applyFont="1" applyFill="1" applyBorder="1" applyAlignment="1" applyProtection="1">
      <protection hidden="1"/>
    </xf>
    <xf numFmtId="0" fontId="8" fillId="19" borderId="0" xfId="12" applyNumberFormat="1" applyFont="1" applyFill="1" applyAlignment="1" applyProtection="1">
      <protection hidden="1"/>
    </xf>
    <xf numFmtId="172" fontId="8" fillId="19" borderId="0" xfId="12" applyNumberFormat="1" applyFont="1" applyFill="1" applyProtection="1">
      <protection hidden="1"/>
    </xf>
    <xf numFmtId="178" fontId="18" fillId="5" borderId="79" xfId="12" applyNumberFormat="1" applyFont="1" applyFill="1" applyBorder="1" applyAlignment="1" applyProtection="1">
      <alignment vertical="center"/>
      <protection hidden="1"/>
    </xf>
    <xf numFmtId="178" fontId="18" fillId="5" borderId="99" xfId="12" applyNumberFormat="1" applyFont="1" applyFill="1" applyBorder="1" applyAlignment="1" applyProtection="1">
      <alignment vertical="center"/>
      <protection hidden="1"/>
    </xf>
    <xf numFmtId="0" fontId="8" fillId="0" borderId="39" xfId="5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63" xfId="5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100" xfId="12" applyNumberFormat="1" applyFont="1" applyFill="1" applyBorder="1" applyAlignment="1" applyProtection="1">
      <protection hidden="1"/>
    </xf>
    <xf numFmtId="0" fontId="11" fillId="0" borderId="100" xfId="14" applyNumberFormat="1" applyFont="1" applyBorder="1" applyAlignment="1" applyProtection="1">
      <protection hidden="1"/>
    </xf>
    <xf numFmtId="0" fontId="11" fillId="0" borderId="73" xfId="12" applyNumberFormat="1" applyFont="1" applyFill="1" applyBorder="1" applyAlignment="1" applyProtection="1">
      <protection hidden="1"/>
    </xf>
    <xf numFmtId="0" fontId="9" fillId="0" borderId="102" xfId="5" applyFont="1" applyFill="1" applyBorder="1" applyAlignment="1" applyProtection="1">
      <alignment horizontal="center" vertical="top" wrapText="1"/>
      <protection hidden="1"/>
    </xf>
    <xf numFmtId="0" fontId="9" fillId="0" borderId="102" xfId="11" applyFont="1" applyBorder="1" applyAlignment="1" applyProtection="1">
      <alignment horizontal="center" vertical="center"/>
      <protection hidden="1"/>
    </xf>
    <xf numFmtId="175" fontId="8" fillId="0" borderId="119" xfId="11" applyNumberFormat="1" applyFont="1" applyFill="1" applyBorder="1" applyAlignment="1"/>
    <xf numFmtId="175" fontId="8" fillId="0" borderId="102" xfId="11" applyNumberFormat="1" applyFont="1" applyFill="1" applyBorder="1" applyAlignment="1"/>
    <xf numFmtId="175" fontId="12" fillId="0" borderId="64" xfId="14" applyNumberFormat="1" applyFont="1" applyBorder="1" applyAlignment="1" applyProtection="1">
      <alignment vertical="center"/>
      <protection hidden="1"/>
    </xf>
    <xf numFmtId="0" fontId="9" fillId="0" borderId="100" xfId="5" applyNumberFormat="1" applyFont="1" applyFill="1" applyBorder="1" applyAlignment="1" applyProtection="1">
      <alignment horizontal="center" vertical="top" wrapText="1"/>
      <protection hidden="1"/>
    </xf>
    <xf numFmtId="0" fontId="9" fillId="0" borderId="100" xfId="11" applyFont="1" applyBorder="1" applyAlignment="1" applyProtection="1">
      <alignment horizontal="center" vertical="center"/>
      <protection hidden="1"/>
    </xf>
    <xf numFmtId="175" fontId="8" fillId="0" borderId="123" xfId="11" applyNumberFormat="1" applyFont="1" applyFill="1" applyBorder="1" applyAlignment="1"/>
    <xf numFmtId="0" fontId="12" fillId="0" borderId="10" xfId="14" applyFont="1" applyBorder="1" applyAlignment="1" applyProtection="1">
      <alignment horizontal="center" vertical="top" wrapText="1"/>
      <protection hidden="1"/>
    </xf>
    <xf numFmtId="175" fontId="12" fillId="0" borderId="34" xfId="14" applyNumberFormat="1" applyFont="1" applyBorder="1" applyAlignment="1" applyProtection="1">
      <alignment vertical="center"/>
      <protection hidden="1"/>
    </xf>
    <xf numFmtId="175" fontId="11" fillId="0" borderId="10" xfId="14" applyNumberFormat="1" applyFont="1" applyBorder="1" applyProtection="1">
      <protection hidden="1"/>
    </xf>
    <xf numFmtId="175" fontId="11" fillId="0" borderId="117" xfId="14" applyNumberFormat="1" applyFont="1" applyBorder="1" applyProtection="1">
      <protection hidden="1"/>
    </xf>
    <xf numFmtId="175" fontId="11" fillId="0" borderId="118" xfId="14" applyNumberFormat="1" applyFont="1" applyBorder="1" applyProtection="1">
      <protection hidden="1"/>
    </xf>
    <xf numFmtId="175" fontId="11" fillId="0" borderId="8" xfId="14" applyNumberFormat="1" applyFont="1" applyBorder="1" applyProtection="1">
      <protection hidden="1"/>
    </xf>
    <xf numFmtId="184" fontId="8" fillId="0" borderId="0" xfId="11" applyNumberFormat="1" applyFont="1" applyFill="1" applyBorder="1" applyAlignment="1"/>
    <xf numFmtId="184" fontId="11" fillId="0" borderId="0" xfId="14" applyNumberFormat="1" applyFont="1" applyBorder="1" applyProtection="1">
      <protection hidden="1"/>
    </xf>
    <xf numFmtId="188" fontId="9" fillId="5" borderId="62" xfId="0" quotePrefix="1" applyNumberFormat="1" applyFont="1" applyFill="1" applyBorder="1" applyAlignment="1" applyProtection="1">
      <alignment horizontal="center" vertical="center"/>
      <protection hidden="1"/>
    </xf>
    <xf numFmtId="178" fontId="7" fillId="0" borderId="124" xfId="0" applyNumberFormat="1" applyFont="1" applyFill="1" applyBorder="1" applyAlignment="1" applyProtection="1">
      <alignment vertical="center"/>
      <protection locked="0"/>
    </xf>
    <xf numFmtId="178" fontId="7" fillId="0" borderId="125" xfId="0" applyNumberFormat="1" applyFont="1" applyFill="1" applyBorder="1" applyAlignment="1" applyProtection="1">
      <alignment vertical="center"/>
      <protection locked="0"/>
    </xf>
    <xf numFmtId="178" fontId="7" fillId="0" borderId="126" xfId="0" applyNumberFormat="1" applyFont="1" applyFill="1" applyBorder="1" applyAlignment="1" applyProtection="1">
      <alignment vertical="center"/>
      <protection locked="0"/>
    </xf>
    <xf numFmtId="180" fontId="18" fillId="5" borderId="85" xfId="0" applyNumberFormat="1" applyFont="1" applyFill="1" applyBorder="1" applyAlignment="1" applyProtection="1">
      <alignment vertical="center"/>
      <protection hidden="1"/>
    </xf>
    <xf numFmtId="178" fontId="9" fillId="5" borderId="50" xfId="0" applyNumberFormat="1" applyFont="1" applyFill="1" applyBorder="1" applyAlignment="1" applyProtection="1">
      <alignment vertical="center"/>
      <protection hidden="1"/>
    </xf>
    <xf numFmtId="180" fontId="9" fillId="9" borderId="64" xfId="0" applyNumberFormat="1" applyFont="1" applyFill="1" applyBorder="1" applyAlignment="1" applyProtection="1">
      <alignment vertical="center"/>
      <protection hidden="1"/>
    </xf>
    <xf numFmtId="188" fontId="9" fillId="5" borderId="37" xfId="0" quotePrefix="1" applyNumberFormat="1" applyFont="1" applyFill="1" applyBorder="1" applyAlignment="1" applyProtection="1">
      <alignment horizontal="center" vertical="center"/>
      <protection hidden="1"/>
    </xf>
    <xf numFmtId="178" fontId="7" fillId="0" borderId="127" xfId="0" applyNumberFormat="1" applyFont="1" applyFill="1" applyBorder="1" applyAlignment="1" applyProtection="1">
      <alignment vertical="center"/>
      <protection locked="0"/>
    </xf>
    <xf numFmtId="178" fontId="7" fillId="0" borderId="31" xfId="0" applyNumberFormat="1" applyFont="1" applyFill="1" applyBorder="1" applyAlignment="1" applyProtection="1">
      <alignment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180" fontId="18" fillId="5" borderId="80" xfId="0" applyNumberFormat="1" applyFont="1" applyFill="1" applyBorder="1" applyAlignment="1" applyProtection="1">
      <alignment vertical="center"/>
      <protection hidden="1"/>
    </xf>
    <xf numFmtId="178" fontId="9" fillId="5" borderId="31" xfId="0" applyNumberFormat="1" applyFont="1" applyFill="1" applyBorder="1" applyAlignment="1" applyProtection="1">
      <alignment vertical="center"/>
      <protection hidden="1"/>
    </xf>
    <xf numFmtId="180" fontId="9" fillId="9" borderId="13" xfId="0" applyNumberFormat="1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protection hidden="1"/>
    </xf>
    <xf numFmtId="0" fontId="8" fillId="5" borderId="100" xfId="0" applyFont="1" applyFill="1" applyBorder="1" applyAlignment="1" applyProtection="1">
      <protection hidden="1"/>
    </xf>
    <xf numFmtId="177" fontId="11" fillId="0" borderId="130" xfId="14" applyNumberFormat="1" applyFont="1" applyBorder="1" applyAlignment="1" applyProtection="1">
      <alignment horizontal="center"/>
      <protection hidden="1"/>
    </xf>
    <xf numFmtId="3" fontId="12" fillId="0" borderId="37" xfId="14" applyNumberFormat="1" applyFont="1" applyFill="1" applyBorder="1" applyAlignment="1" applyProtection="1">
      <alignment horizontal="center" vertical="center"/>
      <protection hidden="1"/>
    </xf>
    <xf numFmtId="177" fontId="11" fillId="0" borderId="128" xfId="14" applyNumberFormat="1" applyFont="1" applyBorder="1" applyAlignment="1" applyProtection="1">
      <alignment horizontal="center"/>
      <protection hidden="1"/>
    </xf>
    <xf numFmtId="177" fontId="11" fillId="0" borderId="8" xfId="14" applyNumberFormat="1" applyFont="1" applyBorder="1" applyAlignment="1" applyProtection="1">
      <alignment horizontal="center"/>
      <protection hidden="1"/>
    </xf>
    <xf numFmtId="177" fontId="11" fillId="0" borderId="16" xfId="14" applyNumberFormat="1" applyFont="1" applyBorder="1" applyAlignment="1" applyProtection="1">
      <alignment horizontal="center"/>
      <protection hidden="1"/>
    </xf>
    <xf numFmtId="0" fontId="9" fillId="9" borderId="77" xfId="5" applyFont="1" applyFill="1" applyBorder="1" applyAlignment="1" applyProtection="1">
      <alignment horizontal="left" vertical="center" indent="1"/>
      <protection hidden="1"/>
    </xf>
    <xf numFmtId="0" fontId="9" fillId="9" borderId="30" xfId="0" applyFont="1" applyFill="1" applyBorder="1" applyAlignment="1" applyProtection="1">
      <alignment horizontal="left" vertical="center" indent="1"/>
      <protection hidden="1"/>
    </xf>
    <xf numFmtId="0" fontId="9" fillId="9" borderId="15" xfId="0" applyFont="1" applyFill="1" applyBorder="1" applyAlignment="1" applyProtection="1">
      <alignment horizontal="left" vertical="center" indent="1"/>
      <protection hidden="1"/>
    </xf>
    <xf numFmtId="178" fontId="7" fillId="0" borderId="118" xfId="0" applyNumberFormat="1" applyFont="1" applyFill="1" applyBorder="1" applyAlignment="1" applyProtection="1">
      <alignment vertical="center"/>
      <protection locked="0"/>
    </xf>
    <xf numFmtId="178" fontId="7" fillId="0" borderId="33" xfId="0" applyNumberFormat="1" applyFont="1" applyFill="1" applyBorder="1" applyAlignment="1" applyProtection="1">
      <alignment vertical="center"/>
      <protection locked="0"/>
    </xf>
    <xf numFmtId="178" fontId="7" fillId="0" borderId="8" xfId="0" applyNumberFormat="1" applyFont="1" applyFill="1" applyBorder="1" applyAlignment="1" applyProtection="1">
      <alignment vertical="center"/>
      <protection locked="0"/>
    </xf>
    <xf numFmtId="180" fontId="18" fillId="5" borderId="81" xfId="0" applyNumberFormat="1" applyFont="1" applyFill="1" applyBorder="1" applyAlignment="1" applyProtection="1">
      <alignment vertical="center"/>
      <protection hidden="1"/>
    </xf>
    <xf numFmtId="178" fontId="9" fillId="5" borderId="33" xfId="0" applyNumberFormat="1" applyFont="1" applyFill="1" applyBorder="1" applyAlignment="1" applyProtection="1">
      <alignment vertical="center"/>
      <protection hidden="1"/>
    </xf>
    <xf numFmtId="180" fontId="9" fillId="9" borderId="16" xfId="0" applyNumberFormat="1" applyFont="1" applyFill="1" applyBorder="1" applyAlignment="1" applyProtection="1">
      <alignment vertical="center"/>
      <protection hidden="1"/>
    </xf>
    <xf numFmtId="0" fontId="8" fillId="10" borderId="0" xfId="0" applyFont="1" applyFill="1" applyBorder="1" applyAlignment="1" applyProtection="1">
      <alignment horizontal="left" indent="2"/>
      <protection hidden="1"/>
    </xf>
    <xf numFmtId="172" fontId="9" fillId="5" borderId="129" xfId="0" applyNumberFormat="1" applyFont="1" applyFill="1" applyBorder="1" applyAlignment="1" applyProtection="1">
      <alignment horizontal="center" vertical="top" wrapText="1"/>
      <protection hidden="1"/>
    </xf>
    <xf numFmtId="172" fontId="9" fillId="5" borderId="130" xfId="0" applyNumberFormat="1" applyFont="1" applyFill="1" applyBorder="1" applyAlignment="1" applyProtection="1">
      <alignment horizontal="center" vertical="top" wrapText="1"/>
      <protection hidden="1"/>
    </xf>
    <xf numFmtId="172" fontId="9" fillId="5" borderId="131" xfId="0" applyNumberFormat="1" applyFont="1" applyFill="1" applyBorder="1" applyAlignment="1" applyProtection="1">
      <alignment horizontal="center" vertical="top"/>
      <protection hidden="1"/>
    </xf>
    <xf numFmtId="0" fontId="9" fillId="5" borderId="132" xfId="0" applyNumberFormat="1" applyFont="1" applyFill="1" applyBorder="1" applyAlignment="1" applyProtection="1">
      <protection hidden="1"/>
    </xf>
    <xf numFmtId="0" fontId="8" fillId="9" borderId="108" xfId="0" applyFont="1" applyFill="1" applyBorder="1" applyProtection="1">
      <protection hidden="1"/>
    </xf>
    <xf numFmtId="0" fontId="9" fillId="9" borderId="46" xfId="5" applyNumberFormat="1" applyFont="1" applyFill="1" applyBorder="1" applyAlignment="1" applyProtection="1">
      <alignment horizontal="left" vertical="center" indent="1"/>
      <protection hidden="1"/>
    </xf>
    <xf numFmtId="0" fontId="9" fillId="9" borderId="82" xfId="5" applyNumberFormat="1" applyFont="1" applyFill="1" applyBorder="1" applyAlignment="1" applyProtection="1">
      <alignment horizontal="left" vertical="center" indent="1"/>
      <protection hidden="1"/>
    </xf>
    <xf numFmtId="0" fontId="29" fillId="0" borderId="111" xfId="0" applyFont="1" applyFill="1" applyBorder="1" applyAlignment="1" applyProtection="1">
      <alignment horizontal="left" vertical="center" indent="1"/>
      <protection hidden="1"/>
    </xf>
    <xf numFmtId="0" fontId="27" fillId="9" borderId="30" xfId="0" applyFont="1" applyFill="1" applyBorder="1" applyAlignment="1" applyProtection="1">
      <alignment horizontal="left" vertical="center" indent="1"/>
      <protection hidden="1"/>
    </xf>
    <xf numFmtId="0" fontId="27" fillId="9" borderId="111" xfId="0" applyFont="1" applyFill="1" applyBorder="1" applyAlignment="1" applyProtection="1">
      <alignment horizontal="left" vertical="center" indent="1"/>
      <protection hidden="1"/>
    </xf>
    <xf numFmtId="0" fontId="29" fillId="0" borderId="133" xfId="0" applyFont="1" applyFill="1" applyBorder="1" applyAlignment="1" applyProtection="1">
      <alignment horizontal="left" vertical="center" indent="1"/>
      <protection hidden="1"/>
    </xf>
    <xf numFmtId="0" fontId="29" fillId="0" borderId="134" xfId="0" applyFont="1" applyFill="1" applyBorder="1" applyAlignment="1" applyProtection="1">
      <alignment horizontal="left" vertical="center" indent="1"/>
      <protection hidden="1"/>
    </xf>
    <xf numFmtId="0" fontId="28" fillId="0" borderId="135" xfId="0" applyFont="1" applyFill="1" applyBorder="1" applyAlignment="1" applyProtection="1">
      <alignment horizontal="center" vertical="center"/>
      <protection hidden="1"/>
    </xf>
    <xf numFmtId="174" fontId="7" fillId="0" borderId="48" xfId="0" applyNumberFormat="1" applyFont="1" applyFill="1" applyBorder="1" applyAlignment="1" applyProtection="1">
      <alignment vertical="center"/>
      <protection locked="0"/>
    </xf>
    <xf numFmtId="0" fontId="8" fillId="4" borderId="132" xfId="0" applyFont="1" applyFill="1" applyBorder="1" applyAlignment="1" applyProtection="1">
      <alignment vertical="center"/>
      <protection hidden="1"/>
    </xf>
    <xf numFmtId="178" fontId="8" fillId="0" borderId="110" xfId="0" applyNumberFormat="1" applyFont="1" applyFill="1" applyBorder="1" applyAlignment="1" applyProtection="1">
      <alignment vertical="center"/>
      <protection locked="0"/>
    </xf>
    <xf numFmtId="0" fontId="8" fillId="4" borderId="108" xfId="0" applyFont="1" applyFill="1" applyBorder="1" applyAlignment="1" applyProtection="1">
      <alignment vertical="center"/>
      <protection hidden="1"/>
    </xf>
    <xf numFmtId="0" fontId="8" fillId="4" borderId="100" xfId="0" applyFont="1" applyFill="1" applyBorder="1" applyAlignment="1" applyProtection="1">
      <protection hidden="1"/>
    </xf>
    <xf numFmtId="178" fontId="8" fillId="0" borderId="112" xfId="0" applyNumberFormat="1" applyFont="1" applyFill="1" applyBorder="1" applyAlignment="1" applyProtection="1">
      <alignment vertical="center"/>
      <protection locked="0"/>
    </xf>
    <xf numFmtId="180" fontId="9" fillId="4" borderId="112" xfId="0" applyNumberFormat="1" applyFont="1" applyFill="1" applyBorder="1" applyAlignment="1" applyProtection="1">
      <alignment vertical="center"/>
      <protection hidden="1"/>
    </xf>
    <xf numFmtId="169" fontId="8" fillId="4" borderId="100" xfId="0" applyNumberFormat="1" applyFont="1" applyFill="1" applyBorder="1" applyAlignment="1" applyProtection="1">
      <alignment vertical="center"/>
      <protection hidden="1"/>
    </xf>
    <xf numFmtId="169" fontId="8" fillId="4" borderId="109" xfId="0" applyNumberFormat="1" applyFont="1" applyFill="1" applyBorder="1" applyAlignment="1" applyProtection="1">
      <alignment vertical="center"/>
      <protection hidden="1"/>
    </xf>
    <xf numFmtId="0" fontId="8" fillId="10" borderId="25" xfId="0" applyFont="1" applyFill="1" applyBorder="1" applyProtection="1">
      <protection hidden="1"/>
    </xf>
    <xf numFmtId="0" fontId="8" fillId="10" borderId="8" xfId="0" applyFont="1" applyFill="1" applyBorder="1" applyProtection="1">
      <protection hidden="1"/>
    </xf>
    <xf numFmtId="0" fontId="8" fillId="9" borderId="8" xfId="0" applyFont="1" applyFill="1" applyBorder="1" applyProtection="1">
      <protection hidden="1"/>
    </xf>
    <xf numFmtId="0" fontId="9" fillId="4" borderId="11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188" fontId="9" fillId="3" borderId="17" xfId="0" quotePrefix="1" applyNumberFormat="1" applyFont="1" applyFill="1" applyBorder="1" applyAlignment="1" applyProtection="1">
      <alignment horizontal="center" vertical="center"/>
      <protection hidden="1"/>
    </xf>
    <xf numFmtId="0" fontId="8" fillId="10" borderId="11" xfId="0" applyFont="1" applyFill="1" applyBorder="1" applyProtection="1">
      <protection hidden="1"/>
    </xf>
    <xf numFmtId="0" fontId="8" fillId="4" borderId="24" xfId="0" applyFont="1" applyFill="1" applyBorder="1" applyAlignment="1" applyProtection="1">
      <protection hidden="1"/>
    </xf>
    <xf numFmtId="178" fontId="8" fillId="0" borderId="30" xfId="0" applyNumberFormat="1" applyFont="1" applyFill="1" applyBorder="1" applyAlignment="1" applyProtection="1">
      <alignment vertical="center"/>
      <protection locked="0"/>
    </xf>
    <xf numFmtId="180" fontId="9" fillId="4" borderId="30" xfId="0" applyNumberFormat="1" applyFont="1" applyFill="1" applyBorder="1" applyAlignment="1" applyProtection="1">
      <alignment vertical="center"/>
      <protection hidden="1"/>
    </xf>
    <xf numFmtId="169" fontId="8" fillId="4" borderId="6" xfId="0" applyNumberFormat="1" applyFont="1" applyFill="1" applyBorder="1" applyAlignment="1" applyProtection="1">
      <alignment vertical="center"/>
      <protection hidden="1"/>
    </xf>
    <xf numFmtId="178" fontId="8" fillId="0" borderId="55" xfId="0" applyNumberFormat="1" applyFont="1" applyFill="1" applyBorder="1" applyAlignment="1" applyProtection="1">
      <alignment vertical="center"/>
      <protection locked="0"/>
    </xf>
    <xf numFmtId="169" fontId="8" fillId="4" borderId="27" xfId="0" applyNumberFormat="1" applyFont="1" applyFill="1" applyBorder="1" applyAlignment="1" applyProtection="1">
      <alignment vertical="center"/>
      <protection hidden="1"/>
    </xf>
    <xf numFmtId="169" fontId="8" fillId="4" borderId="110" xfId="0" applyNumberFormat="1" applyFont="1" applyFill="1" applyBorder="1" applyAlignment="1" applyProtection="1">
      <alignment vertical="center"/>
      <protection hidden="1"/>
    </xf>
    <xf numFmtId="0" fontId="8" fillId="4" borderId="110" xfId="0" applyFont="1" applyFill="1" applyBorder="1" applyAlignment="1" applyProtection="1">
      <alignment vertical="center"/>
      <protection hidden="1"/>
    </xf>
    <xf numFmtId="178" fontId="8" fillId="0" borderId="136" xfId="0" applyNumberFormat="1" applyFont="1" applyFill="1" applyBorder="1" applyAlignment="1" applyProtection="1">
      <alignment vertical="center"/>
      <protection locked="0"/>
    </xf>
    <xf numFmtId="180" fontId="9" fillId="4" borderId="136" xfId="0" applyNumberFormat="1" applyFont="1" applyFill="1" applyBorder="1" applyAlignment="1" applyProtection="1">
      <alignment vertical="center"/>
      <protection hidden="1"/>
    </xf>
    <xf numFmtId="169" fontId="8" fillId="4" borderId="116" xfId="0" applyNumberFormat="1" applyFont="1" applyFill="1" applyBorder="1" applyAlignment="1" applyProtection="1">
      <alignment vertical="center"/>
      <protection hidden="1"/>
    </xf>
    <xf numFmtId="0" fontId="8" fillId="7" borderId="0" xfId="4" applyNumberFormat="1" applyFont="1" applyFill="1" applyBorder="1" applyAlignment="1" applyProtection="1">
      <alignment vertical="center"/>
      <protection hidden="1"/>
    </xf>
    <xf numFmtId="0" fontId="8" fillId="7" borderId="0" xfId="4" applyNumberFormat="1" applyFont="1" applyFill="1" applyBorder="1" applyAlignment="1" applyProtection="1">
      <protection hidden="1"/>
    </xf>
    <xf numFmtId="0" fontId="8" fillId="7" borderId="0" xfId="4" applyNumberFormat="1" applyFont="1" applyFill="1" applyBorder="1" applyProtection="1">
      <protection hidden="1"/>
    </xf>
    <xf numFmtId="0" fontId="8" fillId="7" borderId="100" xfId="4" applyNumberFormat="1" applyFont="1" applyFill="1" applyBorder="1" applyProtection="1">
      <protection hidden="1"/>
    </xf>
    <xf numFmtId="0" fontId="8" fillId="12" borderId="0" xfId="4" applyNumberFormat="1" applyFont="1" applyFill="1" applyBorder="1" applyProtection="1">
      <protection hidden="1"/>
    </xf>
    <xf numFmtId="0" fontId="8" fillId="12" borderId="0" xfId="4" applyNumberFormat="1" applyFont="1" applyFill="1" applyBorder="1" applyAlignment="1" applyProtection="1">
      <protection hidden="1"/>
    </xf>
    <xf numFmtId="0" fontId="8" fillId="9" borderId="119" xfId="0" applyFont="1" applyFill="1" applyBorder="1" applyAlignment="1" applyProtection="1">
      <alignment vertical="center"/>
      <protection hidden="1"/>
    </xf>
    <xf numFmtId="0" fontId="9" fillId="5" borderId="132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vertical="center"/>
      <protection hidden="1"/>
    </xf>
    <xf numFmtId="0" fontId="9" fillId="9" borderId="100" xfId="0" applyNumberFormat="1" applyFont="1" applyFill="1" applyBorder="1" applyAlignment="1" applyProtection="1">
      <alignment vertical="center"/>
      <protection hidden="1"/>
    </xf>
    <xf numFmtId="0" fontId="8" fillId="9" borderId="100" xfId="0" applyNumberFormat="1" applyFont="1" applyFill="1" applyBorder="1" applyAlignment="1" applyProtection="1">
      <protection hidden="1"/>
    </xf>
    <xf numFmtId="0" fontId="8" fillId="9" borderId="100" xfId="0" applyFont="1" applyFill="1" applyBorder="1" applyAlignment="1" applyProtection="1">
      <alignment vertical="top" wrapText="1"/>
      <protection hidden="1"/>
    </xf>
    <xf numFmtId="0" fontId="9" fillId="9" borderId="100" xfId="0" applyFont="1" applyFill="1" applyBorder="1" applyAlignment="1" applyProtection="1">
      <alignment vertical="top" wrapText="1"/>
      <protection hidden="1"/>
    </xf>
    <xf numFmtId="178" fontId="7" fillId="0" borderId="38" xfId="0" applyNumberFormat="1" applyFont="1" applyFill="1" applyBorder="1" applyAlignment="1" applyProtection="1">
      <alignment vertical="center"/>
      <protection locked="0"/>
    </xf>
    <xf numFmtId="0" fontId="8" fillId="0" borderId="113" xfId="5" applyNumberFormat="1" applyFont="1" applyFill="1" applyBorder="1" applyAlignment="1" applyProtection="1">
      <alignment horizontal="left" vertical="center" wrapText="1" indent="1"/>
      <protection locked="0"/>
    </xf>
    <xf numFmtId="178" fontId="9" fillId="5" borderId="136" xfId="0" applyNumberFormat="1" applyFont="1" applyFill="1" applyBorder="1" applyAlignment="1" applyProtection="1">
      <alignment vertical="center"/>
      <protection hidden="1"/>
    </xf>
    <xf numFmtId="172" fontId="8" fillId="9" borderId="108" xfId="0" applyNumberFormat="1" applyFont="1" applyFill="1" applyBorder="1" applyProtection="1">
      <protection hidden="1"/>
    </xf>
    <xf numFmtId="0" fontId="8" fillId="0" borderId="137" xfId="5" applyNumberFormat="1" applyFont="1" applyFill="1" applyBorder="1" applyAlignment="1" applyProtection="1">
      <alignment horizontal="left" vertical="center" wrapText="1" indent="1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138" xfId="0" applyNumberFormat="1" applyFont="1" applyFill="1" applyBorder="1" applyAlignment="1" applyProtection="1">
      <alignment vertical="center"/>
      <protection locked="0"/>
    </xf>
    <xf numFmtId="0" fontId="9" fillId="9" borderId="21" xfId="0" applyFont="1" applyFill="1" applyBorder="1" applyAlignment="1" applyProtection="1">
      <alignment horizontal="center" vertical="center"/>
      <protection hidden="1"/>
    </xf>
    <xf numFmtId="0" fontId="9" fillId="9" borderId="58" xfId="0" applyFont="1" applyFill="1" applyBorder="1" applyAlignment="1" applyProtection="1">
      <alignment horizontal="center" vertical="center"/>
      <protection hidden="1"/>
    </xf>
    <xf numFmtId="0" fontId="9" fillId="9" borderId="25" xfId="0" applyFont="1" applyFill="1" applyBorder="1" applyAlignment="1" applyProtection="1">
      <alignment horizontal="center" vertical="center" wrapText="1"/>
      <protection hidden="1"/>
    </xf>
    <xf numFmtId="0" fontId="9" fillId="9" borderId="29" xfId="0" applyFont="1" applyFill="1" applyBorder="1" applyAlignment="1" applyProtection="1">
      <alignment horizontal="center" vertical="center" wrapText="1"/>
      <protection hidden="1"/>
    </xf>
    <xf numFmtId="172" fontId="9" fillId="0" borderId="101" xfId="4" applyNumberFormat="1" applyFont="1" applyFill="1" applyBorder="1" applyAlignment="1" applyProtection="1">
      <alignment horizontal="left" vertical="center" indent="1"/>
      <protection hidden="1"/>
    </xf>
    <xf numFmtId="172" fontId="9" fillId="0" borderId="32" xfId="4" applyNumberFormat="1" applyFont="1" applyFill="1" applyBorder="1" applyAlignment="1" applyProtection="1">
      <alignment horizontal="left" vertical="center" indent="1"/>
      <protection hidden="1"/>
    </xf>
    <xf numFmtId="172" fontId="9" fillId="0" borderId="40" xfId="4" applyNumberFormat="1" applyFont="1" applyFill="1" applyBorder="1" applyAlignment="1" applyProtection="1">
      <alignment horizontal="left" vertical="center" indent="1"/>
      <protection hidden="1"/>
    </xf>
    <xf numFmtId="172" fontId="9" fillId="0" borderId="110" xfId="4" applyNumberFormat="1" applyFont="1" applyFill="1" applyBorder="1" applyAlignment="1" applyProtection="1">
      <alignment horizontal="left" vertical="center" indent="1"/>
      <protection hidden="1"/>
    </xf>
    <xf numFmtId="172" fontId="9" fillId="0" borderId="112" xfId="4" applyNumberFormat="1" applyFont="1" applyFill="1" applyBorder="1" applyAlignment="1" applyProtection="1">
      <alignment horizontal="left" vertical="center" indent="1"/>
      <protection hidden="1"/>
    </xf>
    <xf numFmtId="172" fontId="21" fillId="6" borderId="111" xfId="0" applyNumberFormat="1" applyFont="1" applyFill="1" applyBorder="1" applyAlignment="1" applyProtection="1">
      <alignment horizontal="center" vertical="top" wrapText="1"/>
      <protection hidden="1"/>
    </xf>
    <xf numFmtId="172" fontId="21" fillId="6" borderId="6" xfId="0" applyNumberFormat="1" applyFont="1" applyFill="1" applyBorder="1" applyAlignment="1" applyProtection="1">
      <alignment horizontal="center" vertical="top" wrapText="1"/>
      <protection hidden="1"/>
    </xf>
    <xf numFmtId="172" fontId="21" fillId="6" borderId="117" xfId="0" applyNumberFormat="1" applyFont="1" applyFill="1" applyBorder="1" applyAlignment="1" applyProtection="1">
      <alignment horizontal="center" vertical="top" wrapText="1"/>
      <protection hidden="1"/>
    </xf>
    <xf numFmtId="172" fontId="21" fillId="6" borderId="7" xfId="0" applyNumberFormat="1" applyFont="1" applyFill="1" applyBorder="1" applyAlignment="1" applyProtection="1">
      <alignment horizontal="center" vertical="top" wrapText="1"/>
      <protection hidden="1"/>
    </xf>
    <xf numFmtId="172" fontId="21" fillId="6" borderId="21" xfId="0" applyNumberFormat="1" applyFont="1" applyFill="1" applyBorder="1" applyAlignment="1" applyProtection="1">
      <alignment horizontal="center" vertical="center"/>
      <protection hidden="1"/>
    </xf>
    <xf numFmtId="172" fontId="21" fillId="6" borderId="58" xfId="0" applyNumberFormat="1" applyFont="1" applyFill="1" applyBorder="1" applyAlignment="1" applyProtection="1">
      <alignment horizontal="center" vertical="center"/>
      <protection hidden="1"/>
    </xf>
    <xf numFmtId="0" fontId="9" fillId="5" borderId="26" xfId="4" applyFont="1" applyFill="1" applyBorder="1" applyAlignment="1" applyProtection="1">
      <alignment horizontal="center" vertical="top" wrapText="1"/>
      <protection hidden="1"/>
    </xf>
    <xf numFmtId="0" fontId="9" fillId="5" borderId="12" xfId="4" applyFont="1" applyFill="1" applyBorder="1" applyAlignment="1" applyProtection="1">
      <alignment horizontal="center" vertical="top" wrapText="1"/>
      <protection hidden="1"/>
    </xf>
    <xf numFmtId="0" fontId="9" fillId="5" borderId="21" xfId="0" applyFont="1" applyFill="1" applyBorder="1" applyAlignment="1" applyProtection="1">
      <alignment horizontal="center" vertical="center"/>
      <protection hidden="1"/>
    </xf>
    <xf numFmtId="0" fontId="9" fillId="5" borderId="58" xfId="0" applyFont="1" applyFill="1" applyBorder="1" applyAlignment="1" applyProtection="1">
      <alignment horizontal="center" vertical="center"/>
      <protection hidden="1"/>
    </xf>
    <xf numFmtId="0" fontId="9" fillId="5" borderId="23" xfId="0" applyFont="1" applyFill="1" applyBorder="1" applyAlignment="1" applyProtection="1">
      <alignment horizontal="center" vertical="center"/>
      <protection hidden="1"/>
    </xf>
    <xf numFmtId="0" fontId="9" fillId="5" borderId="84" xfId="4" applyFont="1" applyFill="1" applyBorder="1" applyAlignment="1" applyProtection="1">
      <alignment horizontal="center" vertical="center" wrapText="1"/>
      <protection hidden="1"/>
    </xf>
    <xf numFmtId="0" fontId="9" fillId="5" borderId="85" xfId="4" applyFont="1" applyFill="1" applyBorder="1" applyAlignment="1" applyProtection="1">
      <alignment horizontal="center" vertical="center"/>
      <protection hidden="1"/>
    </xf>
    <xf numFmtId="0" fontId="9" fillId="5" borderId="79" xfId="4" applyFont="1" applyFill="1" applyBorder="1" applyAlignment="1" applyProtection="1">
      <alignment horizontal="center" vertical="center"/>
      <protection hidden="1"/>
    </xf>
    <xf numFmtId="0" fontId="9" fillId="5" borderId="6" xfId="4" applyFont="1" applyFill="1" applyBorder="1" applyAlignment="1" applyProtection="1">
      <alignment horizontal="center" vertical="top" wrapText="1"/>
      <protection hidden="1"/>
    </xf>
    <xf numFmtId="0" fontId="9" fillId="5" borderId="111" xfId="4" applyFont="1" applyFill="1" applyBorder="1" applyAlignment="1" applyProtection="1">
      <alignment horizontal="center" vertical="top" wrapText="1"/>
      <protection hidden="1"/>
    </xf>
    <xf numFmtId="0" fontId="9" fillId="19" borderId="0" xfId="4" applyFont="1" applyFill="1" applyAlignment="1" applyProtection="1">
      <alignment horizontal="center" vertical="top" wrapText="1"/>
      <protection hidden="1"/>
    </xf>
    <xf numFmtId="172" fontId="9" fillId="5" borderId="111" xfId="0" applyNumberFormat="1" applyFont="1" applyFill="1" applyBorder="1" applyAlignment="1" applyProtection="1">
      <alignment horizontal="center" vertical="top" wrapText="1"/>
      <protection hidden="1"/>
    </xf>
    <xf numFmtId="172" fontId="9" fillId="5" borderId="6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21" xfId="0" applyNumberFormat="1" applyFont="1" applyFill="1" applyBorder="1" applyAlignment="1" applyProtection="1">
      <alignment horizontal="center" vertical="center"/>
      <protection hidden="1"/>
    </xf>
    <xf numFmtId="172" fontId="22" fillId="11" borderId="58" xfId="0" applyNumberFormat="1" applyFont="1" applyFill="1" applyBorder="1" applyAlignment="1" applyProtection="1">
      <alignment horizontal="center" vertical="center"/>
      <protection hidden="1"/>
    </xf>
    <xf numFmtId="172" fontId="22" fillId="11" borderId="111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6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117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7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25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8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118" xfId="0" applyNumberFormat="1" applyFont="1" applyFill="1" applyBorder="1" applyAlignment="1" applyProtection="1">
      <alignment horizontal="center" vertical="top" wrapText="1"/>
      <protection hidden="1"/>
    </xf>
    <xf numFmtId="172" fontId="22" fillId="11" borderId="84" xfId="0" applyNumberFormat="1" applyFont="1" applyFill="1" applyBorder="1" applyAlignment="1" applyProtection="1">
      <alignment horizontal="center" vertical="center"/>
      <protection hidden="1"/>
    </xf>
    <xf numFmtId="172" fontId="22" fillId="11" borderId="85" xfId="0" applyNumberFormat="1" applyFont="1" applyFill="1" applyBorder="1" applyAlignment="1" applyProtection="1">
      <alignment horizontal="center" vertical="center"/>
      <protection hidden="1"/>
    </xf>
    <xf numFmtId="172" fontId="22" fillId="11" borderId="79" xfId="0" applyNumberFormat="1" applyFont="1" applyFill="1" applyBorder="1" applyAlignment="1" applyProtection="1">
      <alignment horizontal="center" vertical="center"/>
      <protection hidden="1"/>
    </xf>
    <xf numFmtId="172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9" fillId="5" borderId="46" xfId="4" applyFont="1" applyFill="1" applyBorder="1" applyAlignment="1" applyProtection="1">
      <alignment horizontal="center" vertical="center"/>
      <protection hidden="1"/>
    </xf>
    <xf numFmtId="0" fontId="9" fillId="5" borderId="82" xfId="4" applyFont="1" applyFill="1" applyBorder="1" applyAlignment="1" applyProtection="1">
      <alignment horizontal="center" vertical="center"/>
      <protection hidden="1"/>
    </xf>
    <xf numFmtId="0" fontId="9" fillId="5" borderId="83" xfId="4" applyFont="1" applyFill="1" applyBorder="1" applyAlignment="1" applyProtection="1">
      <alignment horizontal="center" vertical="center"/>
      <protection hidden="1"/>
    </xf>
    <xf numFmtId="0" fontId="9" fillId="5" borderId="39" xfId="0" applyNumberFormat="1" applyFont="1" applyFill="1" applyBorder="1" applyAlignment="1" applyProtection="1">
      <alignment horizontal="center" vertical="center"/>
      <protection hidden="1"/>
    </xf>
    <xf numFmtId="0" fontId="9" fillId="5" borderId="110" xfId="0" applyNumberFormat="1" applyFont="1" applyFill="1" applyBorder="1" applyAlignment="1" applyProtection="1">
      <alignment horizontal="center" vertical="center"/>
      <protection hidden="1"/>
    </xf>
    <xf numFmtId="172" fontId="9" fillId="5" borderId="40" xfId="0" applyNumberFormat="1" applyFont="1" applyFill="1" applyBorder="1" applyAlignment="1" applyProtection="1">
      <alignment horizontal="center" vertical="center"/>
      <protection hidden="1"/>
    </xf>
    <xf numFmtId="172" fontId="9" fillId="5" borderId="110" xfId="0" applyNumberFormat="1" applyFont="1" applyFill="1" applyBorder="1" applyAlignment="1" applyProtection="1">
      <alignment horizontal="center" vertical="center"/>
      <protection hidden="1"/>
    </xf>
    <xf numFmtId="172" fontId="9" fillId="5" borderId="35" xfId="0" applyNumberFormat="1" applyFont="1" applyFill="1" applyBorder="1" applyAlignment="1" applyProtection="1">
      <alignment horizontal="center" vertical="center"/>
      <protection hidden="1"/>
    </xf>
    <xf numFmtId="0" fontId="9" fillId="5" borderId="21" xfId="4" applyFont="1" applyFill="1" applyBorder="1" applyAlignment="1" applyProtection="1">
      <alignment horizontal="center" vertical="center" wrapText="1"/>
      <protection hidden="1"/>
    </xf>
    <xf numFmtId="0" fontId="9" fillId="5" borderId="58" xfId="4" applyFont="1" applyFill="1" applyBorder="1" applyAlignment="1" applyProtection="1">
      <alignment horizontal="center" vertical="center" wrapText="1"/>
      <protection hidden="1"/>
    </xf>
    <xf numFmtId="0" fontId="9" fillId="5" borderId="23" xfId="4" applyFont="1" applyFill="1" applyBorder="1" applyAlignment="1" applyProtection="1">
      <alignment horizontal="center" vertical="center" wrapText="1"/>
      <protection hidden="1"/>
    </xf>
    <xf numFmtId="0" fontId="9" fillId="5" borderId="10" xfId="4" applyFont="1" applyFill="1" applyBorder="1" applyAlignment="1" applyProtection="1">
      <alignment horizontal="center" vertical="center" wrapText="1"/>
      <protection hidden="1"/>
    </xf>
    <xf numFmtId="0" fontId="9" fillId="5" borderId="0" xfId="4" applyFont="1" applyFill="1" applyBorder="1" applyAlignment="1" applyProtection="1">
      <alignment horizontal="center" vertical="center" wrapText="1"/>
      <protection hidden="1"/>
    </xf>
    <xf numFmtId="0" fontId="9" fillId="5" borderId="11" xfId="4" applyFont="1" applyFill="1" applyBorder="1" applyAlignment="1" applyProtection="1">
      <alignment horizontal="center" vertical="center" wrapText="1"/>
      <protection hidden="1"/>
    </xf>
    <xf numFmtId="0" fontId="9" fillId="5" borderId="84" xfId="4" applyFont="1" applyFill="1" applyBorder="1" applyAlignment="1" applyProtection="1">
      <alignment horizontal="center" vertical="center"/>
      <protection hidden="1"/>
    </xf>
    <xf numFmtId="172" fontId="21" fillId="6" borderId="25" xfId="0" applyNumberFormat="1" applyFont="1" applyFill="1" applyBorder="1" applyAlignment="1" applyProtection="1">
      <alignment horizontal="center" vertical="top" wrapText="1"/>
      <protection hidden="1"/>
    </xf>
    <xf numFmtId="172" fontId="21" fillId="6" borderId="8" xfId="0" applyNumberFormat="1" applyFont="1" applyFill="1" applyBorder="1" applyAlignment="1" applyProtection="1">
      <alignment horizontal="center" vertical="top" wrapText="1"/>
      <protection hidden="1"/>
    </xf>
    <xf numFmtId="172" fontId="21" fillId="6" borderId="84" xfId="0" applyNumberFormat="1" applyFont="1" applyFill="1" applyBorder="1" applyAlignment="1" applyProtection="1">
      <alignment horizontal="center" vertical="center"/>
      <protection hidden="1"/>
    </xf>
    <xf numFmtId="172" fontId="21" fillId="6" borderId="85" xfId="0" applyNumberFormat="1" applyFont="1" applyFill="1" applyBorder="1" applyAlignment="1" applyProtection="1">
      <alignment horizontal="center" vertical="center"/>
      <protection hidden="1"/>
    </xf>
    <xf numFmtId="172" fontId="21" fillId="6" borderId="79" xfId="0" applyNumberFormat="1" applyFont="1" applyFill="1" applyBorder="1" applyAlignment="1" applyProtection="1">
      <alignment horizontal="center" vertical="center"/>
      <protection hidden="1"/>
    </xf>
    <xf numFmtId="172" fontId="9" fillId="6" borderId="0" xfId="0" applyNumberFormat="1" applyFont="1" applyFill="1" applyBorder="1" applyAlignment="1" applyProtection="1">
      <alignment horizontal="center" vertical="center"/>
      <protection hidden="1"/>
    </xf>
    <xf numFmtId="172" fontId="21" fillId="6" borderId="39" xfId="0" applyNumberFormat="1" applyFont="1" applyFill="1" applyBorder="1" applyAlignment="1" applyProtection="1">
      <alignment horizontal="center" vertical="center"/>
      <protection hidden="1"/>
    </xf>
    <xf numFmtId="172" fontId="21" fillId="6" borderId="110" xfId="0" applyNumberFormat="1" applyFont="1" applyFill="1" applyBorder="1" applyAlignment="1" applyProtection="1">
      <alignment horizontal="center" vertical="center"/>
      <protection hidden="1"/>
    </xf>
    <xf numFmtId="172" fontId="21" fillId="6" borderId="112" xfId="0" applyNumberFormat="1" applyFont="1" applyFill="1" applyBorder="1" applyAlignment="1" applyProtection="1">
      <alignment horizontal="center" vertical="center"/>
      <protection hidden="1"/>
    </xf>
    <xf numFmtId="172" fontId="21" fillId="6" borderId="118" xfId="0" applyNumberFormat="1" applyFont="1" applyFill="1" applyBorder="1" applyAlignment="1" applyProtection="1">
      <alignment horizontal="center" vertical="top" wrapText="1"/>
      <protection hidden="1"/>
    </xf>
    <xf numFmtId="0" fontId="8" fillId="4" borderId="12" xfId="0" applyFont="1" applyFill="1" applyBorder="1" applyAlignment="1" applyProtection="1">
      <alignment horizontal="center" vertical="top" wrapText="1"/>
      <protection hidden="1"/>
    </xf>
    <xf numFmtId="0" fontId="9" fillId="19" borderId="0" xfId="0" applyFont="1" applyFill="1" applyAlignment="1" applyProtection="1">
      <alignment horizontal="center" vertical="top" wrapText="1"/>
      <protection hidden="1"/>
    </xf>
    <xf numFmtId="0" fontId="9" fillId="2" borderId="111" xfId="0" applyFont="1" applyFill="1" applyBorder="1" applyAlignment="1" applyProtection="1">
      <alignment horizontal="center" vertical="top" wrapText="1"/>
      <protection hidden="1"/>
    </xf>
    <xf numFmtId="0" fontId="9" fillId="2" borderId="6" xfId="0" applyFont="1" applyFill="1" applyBorder="1" applyAlignment="1" applyProtection="1">
      <alignment horizontal="center" vertical="top" wrapText="1"/>
      <protection hidden="1"/>
    </xf>
    <xf numFmtId="0" fontId="9" fillId="2" borderId="7" xfId="0" applyFont="1" applyFill="1" applyBorder="1" applyAlignment="1" applyProtection="1">
      <alignment horizontal="center" vertical="top" wrapText="1"/>
      <protection hidden="1"/>
    </xf>
    <xf numFmtId="0" fontId="9" fillId="4" borderId="118" xfId="0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9" fillId="4" borderId="110" xfId="0" applyFont="1" applyFill="1" applyBorder="1" applyAlignment="1" applyProtection="1">
      <alignment horizontal="center" vertical="center" wrapText="1"/>
      <protection hidden="1"/>
    </xf>
    <xf numFmtId="0" fontId="9" fillId="4" borderId="50" xfId="0" applyFont="1" applyFill="1" applyBorder="1" applyAlignment="1" applyProtection="1">
      <alignment horizontal="center" vertical="center" wrapText="1"/>
      <protection hidden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  <xf numFmtId="0" fontId="9" fillId="4" borderId="85" xfId="0" applyFont="1" applyFill="1" applyBorder="1" applyAlignment="1" applyProtection="1">
      <alignment horizontal="center" vertical="center"/>
      <protection hidden="1"/>
    </xf>
    <xf numFmtId="0" fontId="8" fillId="0" borderId="85" xfId="0" applyFont="1" applyBorder="1" applyAlignment="1" applyProtection="1">
      <alignment horizontal="center" vertical="center"/>
      <protection hidden="1"/>
    </xf>
    <xf numFmtId="0" fontId="8" fillId="0" borderId="79" xfId="0" applyFont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top" wrapText="1"/>
      <protection hidden="1"/>
    </xf>
    <xf numFmtId="0" fontId="9" fillId="4" borderId="11" xfId="0" applyFont="1" applyFill="1" applyBorder="1" applyAlignment="1" applyProtection="1">
      <alignment horizontal="center" vertical="top" wrapText="1"/>
      <protection hidden="1"/>
    </xf>
    <xf numFmtId="0" fontId="9" fillId="4" borderId="84" xfId="0" applyFont="1" applyFill="1" applyBorder="1" applyAlignment="1" applyProtection="1">
      <alignment horizontal="center" vertical="center"/>
      <protection hidden="1"/>
    </xf>
    <xf numFmtId="0" fontId="9" fillId="4" borderId="7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top" wrapText="1"/>
      <protection hidden="1"/>
    </xf>
    <xf numFmtId="0" fontId="9" fillId="2" borderId="13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horizontal="center" vertical="top" wrapText="1"/>
      <protection hidden="1"/>
    </xf>
    <xf numFmtId="0" fontId="9" fillId="2" borderId="22" xfId="0" applyFont="1" applyFill="1" applyBorder="1" applyAlignment="1" applyProtection="1">
      <alignment horizontal="center" vertical="top" wrapText="1"/>
      <protection hidden="1"/>
    </xf>
    <xf numFmtId="0" fontId="9" fillId="2" borderId="47" xfId="0" applyFont="1" applyFill="1" applyBorder="1" applyAlignment="1" applyProtection="1">
      <alignment horizontal="center" vertical="center" wrapText="1"/>
      <protection hidden="1"/>
    </xf>
    <xf numFmtId="0" fontId="9" fillId="2" borderId="58" xfId="0" applyFont="1" applyFill="1" applyBorder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0" fontId="9" fillId="0" borderId="101" xfId="0" applyFont="1" applyFill="1" applyBorder="1" applyAlignment="1" applyProtection="1">
      <alignment horizontal="left" vertical="center" indent="1"/>
      <protection hidden="1"/>
    </xf>
    <xf numFmtId="0" fontId="9" fillId="0" borderId="110" xfId="0" applyFont="1" applyFill="1" applyBorder="1" applyAlignment="1" applyProtection="1">
      <alignment horizontal="left" vertical="center" indent="1"/>
      <protection hidden="1"/>
    </xf>
    <xf numFmtId="0" fontId="9" fillId="0" borderId="112" xfId="0" applyFont="1" applyFill="1" applyBorder="1" applyAlignment="1" applyProtection="1">
      <alignment horizontal="left" vertical="center" indent="1"/>
      <protection hidden="1"/>
    </xf>
    <xf numFmtId="0" fontId="9" fillId="4" borderId="86" xfId="0" applyFont="1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left" vertical="center" indent="1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0" fontId="9" fillId="4" borderId="85" xfId="0" applyFont="1" applyFill="1" applyBorder="1" applyAlignment="1" applyProtection="1">
      <alignment horizontal="center" vertical="center" wrapText="1"/>
      <protection hidden="1"/>
    </xf>
    <xf numFmtId="0" fontId="9" fillId="4" borderId="79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left" vertical="center" indent="1"/>
      <protection hidden="1"/>
    </xf>
    <xf numFmtId="0" fontId="9" fillId="4" borderId="26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2" borderId="84" xfId="0" applyFont="1" applyFill="1" applyBorder="1" applyAlignment="1" applyProtection="1">
      <alignment horizontal="center" vertical="center" wrapText="1"/>
      <protection hidden="1"/>
    </xf>
    <xf numFmtId="0" fontId="9" fillId="2" borderId="85" xfId="0" applyFont="1" applyFill="1" applyBorder="1" applyAlignment="1" applyProtection="1">
      <alignment horizontal="center" vertical="center" wrapText="1"/>
      <protection hidden="1"/>
    </xf>
    <xf numFmtId="0" fontId="9" fillId="2" borderId="79" xfId="0" applyFont="1" applyFill="1" applyBorder="1" applyAlignment="1" applyProtection="1">
      <alignment horizontal="center" vertical="center" wrapText="1"/>
      <protection hidden="1"/>
    </xf>
    <xf numFmtId="0" fontId="9" fillId="9" borderId="5" xfId="0" applyFont="1" applyFill="1" applyBorder="1" applyAlignment="1" applyProtection="1">
      <alignment horizontal="center" vertical="top" wrapText="1"/>
      <protection hidden="1"/>
    </xf>
    <xf numFmtId="0" fontId="9" fillId="9" borderId="7" xfId="0" applyFont="1" applyFill="1" applyBorder="1" applyAlignment="1" applyProtection="1">
      <alignment horizontal="center" vertical="top" wrapText="1"/>
      <protection hidden="1"/>
    </xf>
    <xf numFmtId="0" fontId="9" fillId="2" borderId="44" xfId="0" applyFont="1" applyFill="1" applyBorder="1" applyAlignment="1" applyProtection="1">
      <alignment horizontal="center" vertical="center" wrapText="1"/>
      <protection hidden="1"/>
    </xf>
    <xf numFmtId="0" fontId="9" fillId="2" borderId="65" xfId="0" applyFont="1" applyFill="1" applyBorder="1" applyAlignment="1" applyProtection="1">
      <alignment horizontal="center" vertical="center" wrapText="1"/>
      <protection hidden="1"/>
    </xf>
    <xf numFmtId="0" fontId="9" fillId="2" borderId="45" xfId="0" applyFont="1" applyFill="1" applyBorder="1" applyAlignment="1" applyProtection="1">
      <alignment horizontal="center" vertical="center" wrapText="1"/>
      <protection hidden="1"/>
    </xf>
    <xf numFmtId="0" fontId="9" fillId="19" borderId="84" xfId="0" applyFont="1" applyFill="1" applyBorder="1" applyAlignment="1" applyProtection="1">
      <alignment horizontal="center" vertical="center"/>
      <protection hidden="1"/>
    </xf>
    <xf numFmtId="0" fontId="9" fillId="19" borderId="85" xfId="0" applyFont="1" applyFill="1" applyBorder="1" applyAlignment="1" applyProtection="1">
      <alignment horizontal="center" vertical="center"/>
      <protection hidden="1"/>
    </xf>
    <xf numFmtId="0" fontId="9" fillId="19" borderId="79" xfId="0" applyFont="1" applyFill="1" applyBorder="1" applyAlignment="1" applyProtection="1">
      <alignment horizontal="center" vertical="center"/>
      <protection hidden="1"/>
    </xf>
    <xf numFmtId="0" fontId="9" fillId="19" borderId="72" xfId="0" applyFont="1" applyFill="1" applyBorder="1" applyAlignment="1" applyProtection="1">
      <alignment horizontal="center" vertical="top" wrapText="1"/>
      <protection hidden="1"/>
    </xf>
    <xf numFmtId="0" fontId="9" fillId="19" borderId="6" xfId="0" applyFont="1" applyFill="1" applyBorder="1" applyAlignment="1" applyProtection="1">
      <alignment horizontal="center" vertical="top" wrapText="1"/>
      <protection hidden="1"/>
    </xf>
    <xf numFmtId="0" fontId="9" fillId="19" borderId="15" xfId="0" applyFont="1" applyFill="1" applyBorder="1" applyAlignment="1" applyProtection="1">
      <alignment horizontal="center" vertical="top" wrapText="1"/>
      <protection hidden="1"/>
    </xf>
    <xf numFmtId="0" fontId="9" fillId="19" borderId="5" xfId="0" applyFont="1" applyFill="1" applyBorder="1" applyAlignment="1" applyProtection="1">
      <alignment horizontal="center" vertical="top" wrapText="1"/>
      <protection hidden="1"/>
    </xf>
    <xf numFmtId="0" fontId="9" fillId="19" borderId="7" xfId="0" applyFont="1" applyFill="1" applyBorder="1" applyAlignment="1" applyProtection="1">
      <alignment horizontal="center" vertical="top" wrapText="1"/>
      <protection hidden="1"/>
    </xf>
    <xf numFmtId="0" fontId="9" fillId="19" borderId="13" xfId="0" applyFont="1" applyFill="1" applyBorder="1" applyAlignment="1" applyProtection="1">
      <alignment horizontal="center" vertical="top" wrapText="1"/>
      <protection hidden="1"/>
    </xf>
    <xf numFmtId="0" fontId="9" fillId="19" borderId="4" xfId="0" applyFont="1" applyFill="1" applyBorder="1" applyAlignment="1" applyProtection="1">
      <alignment horizontal="center" vertical="top" wrapText="1"/>
      <protection hidden="1"/>
    </xf>
    <xf numFmtId="0" fontId="9" fillId="19" borderId="8" xfId="0" applyFont="1" applyFill="1" applyBorder="1" applyAlignment="1" applyProtection="1">
      <alignment horizontal="center" vertical="top" wrapText="1"/>
      <protection hidden="1"/>
    </xf>
    <xf numFmtId="0" fontId="9" fillId="19" borderId="16" xfId="0" applyFont="1" applyFill="1" applyBorder="1" applyAlignment="1" applyProtection="1">
      <alignment horizontal="center" vertical="top" wrapText="1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58" xfId="0" applyFont="1" applyFill="1" applyBorder="1" applyAlignment="1" applyProtection="1">
      <alignment horizontal="center" vertical="center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2" borderId="72" xfId="0" applyFont="1" applyFill="1" applyBorder="1" applyAlignment="1" applyProtection="1">
      <alignment horizontal="center" vertical="top" wrapText="1"/>
      <protection hidden="1"/>
    </xf>
    <xf numFmtId="0" fontId="9" fillId="3" borderId="11" xfId="9" applyFont="1" applyFill="1" applyBorder="1" applyAlignment="1" applyProtection="1">
      <alignment horizontal="center" vertical="top" wrapText="1"/>
      <protection hidden="1"/>
    </xf>
    <xf numFmtId="0" fontId="9" fillId="3" borderId="34" xfId="9" applyFont="1" applyFill="1" applyBorder="1" applyAlignment="1" applyProtection="1">
      <alignment horizontal="center" vertical="center"/>
      <protection hidden="1"/>
    </xf>
    <xf numFmtId="0" fontId="9" fillId="3" borderId="64" xfId="9" applyFont="1" applyFill="1" applyBorder="1" applyAlignment="1" applyProtection="1">
      <alignment horizontal="center" vertical="center"/>
      <protection hidden="1"/>
    </xf>
    <xf numFmtId="0" fontId="9" fillId="3" borderId="17" xfId="9" applyFont="1" applyFill="1" applyBorder="1" applyAlignment="1" applyProtection="1">
      <alignment horizontal="center" vertical="center"/>
      <protection hidden="1"/>
    </xf>
    <xf numFmtId="0" fontId="9" fillId="3" borderId="46" xfId="9" applyFont="1" applyFill="1" applyBorder="1" applyAlignment="1" applyProtection="1">
      <alignment horizontal="center" vertical="center"/>
      <protection hidden="1"/>
    </xf>
    <xf numFmtId="0" fontId="9" fillId="3" borderId="82" xfId="9" applyFont="1" applyFill="1" applyBorder="1" applyAlignment="1" applyProtection="1">
      <alignment horizontal="center" vertical="center"/>
      <protection hidden="1"/>
    </xf>
    <xf numFmtId="0" fontId="9" fillId="3" borderId="83" xfId="9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top" wrapText="1"/>
      <protection hidden="1"/>
    </xf>
    <xf numFmtId="0" fontId="9" fillId="0" borderId="40" xfId="0" quotePrefix="1" applyFont="1" applyFill="1" applyBorder="1" applyAlignment="1" applyProtection="1">
      <alignment horizontal="left" vertical="center" indent="1"/>
      <protection hidden="1"/>
    </xf>
    <xf numFmtId="0" fontId="9" fillId="0" borderId="50" xfId="0" quotePrefix="1" applyFont="1" applyFill="1" applyBorder="1" applyAlignment="1" applyProtection="1">
      <alignment horizontal="left" vertical="center" indent="1"/>
      <protection hidden="1"/>
    </xf>
    <xf numFmtId="0" fontId="9" fillId="0" borderId="32" xfId="0" quotePrefix="1" applyFont="1" applyFill="1" applyBorder="1" applyAlignment="1" applyProtection="1">
      <alignment horizontal="left" vertical="center" indent="1"/>
      <protection hidden="1"/>
    </xf>
    <xf numFmtId="0" fontId="9" fillId="3" borderId="26" xfId="0" applyFont="1" applyFill="1" applyBorder="1" applyAlignment="1" applyProtection="1">
      <alignment horizontal="center" vertical="top" wrapText="1"/>
      <protection hidden="1"/>
    </xf>
    <xf numFmtId="0" fontId="9" fillId="3" borderId="12" xfId="0" applyFont="1" applyFill="1" applyBorder="1" applyAlignment="1" applyProtection="1">
      <alignment horizontal="center" vertical="top" wrapText="1"/>
      <protection hidden="1"/>
    </xf>
    <xf numFmtId="0" fontId="9" fillId="5" borderId="6" xfId="0" applyFont="1" applyFill="1" applyBorder="1" applyAlignment="1" applyProtection="1">
      <alignment horizontal="left" vertical="center" wrapText="1" indent="1"/>
      <protection hidden="1"/>
    </xf>
    <xf numFmtId="0" fontId="9" fillId="9" borderId="47" xfId="0" applyFont="1" applyFill="1" applyBorder="1" applyAlignment="1" applyProtection="1">
      <alignment horizontal="center" vertical="top" wrapText="1"/>
      <protection hidden="1"/>
    </xf>
    <xf numFmtId="0" fontId="9" fillId="9" borderId="23" xfId="0" applyFont="1" applyFill="1" applyBorder="1" applyAlignment="1" applyProtection="1">
      <alignment horizontal="center" vertical="top" wrapText="1"/>
      <protection hidden="1"/>
    </xf>
    <xf numFmtId="183" fontId="8" fillId="9" borderId="54" xfId="0" applyNumberFormat="1" applyFont="1" applyFill="1" applyBorder="1" applyAlignment="1" applyProtection="1">
      <alignment horizontal="center" vertical="center"/>
      <protection hidden="1"/>
    </xf>
    <xf numFmtId="183" fontId="8" fillId="9" borderId="53" xfId="0" applyNumberFormat="1" applyFont="1" applyFill="1" applyBorder="1" applyAlignment="1" applyProtection="1">
      <alignment horizontal="center" vertical="center"/>
      <protection hidden="1"/>
    </xf>
    <xf numFmtId="0" fontId="9" fillId="9" borderId="22" xfId="0" applyFont="1" applyFill="1" applyBorder="1" applyAlignment="1" applyProtection="1">
      <alignment horizontal="center" vertical="top" wrapText="1"/>
      <protection hidden="1"/>
    </xf>
    <xf numFmtId="0" fontId="9" fillId="9" borderId="28" xfId="0" applyFont="1" applyFill="1" applyBorder="1" applyAlignment="1" applyProtection="1">
      <alignment horizontal="center" vertical="top" wrapText="1"/>
      <protection hidden="1"/>
    </xf>
    <xf numFmtId="0" fontId="9" fillId="9" borderId="84" xfId="0" applyFont="1" applyFill="1" applyBorder="1" applyAlignment="1" applyProtection="1">
      <alignment horizontal="left" vertical="center" wrapText="1" indent="1"/>
      <protection hidden="1"/>
    </xf>
    <xf numFmtId="0" fontId="9" fillId="9" borderId="85" xfId="0" applyFont="1" applyFill="1" applyBorder="1" applyAlignment="1" applyProtection="1">
      <alignment horizontal="left" vertical="center" wrapText="1" indent="1"/>
      <protection hidden="1"/>
    </xf>
    <xf numFmtId="0" fontId="9" fillId="9" borderId="78" xfId="0" applyFont="1" applyFill="1" applyBorder="1" applyAlignment="1" applyProtection="1">
      <alignment horizontal="left" vertical="center" wrapText="1" indent="1"/>
      <protection hidden="1"/>
    </xf>
    <xf numFmtId="0" fontId="9" fillId="9" borderId="63" xfId="0" applyFont="1" applyFill="1" applyBorder="1" applyAlignment="1" applyProtection="1">
      <alignment horizontal="left" vertical="center" wrapText="1" indent="1"/>
      <protection hidden="1"/>
    </xf>
    <xf numFmtId="0" fontId="9" fillId="9" borderId="92" xfId="0" applyFont="1" applyFill="1" applyBorder="1" applyAlignment="1" applyProtection="1">
      <alignment horizontal="left" vertical="center" wrapText="1" indent="1"/>
      <protection hidden="1"/>
    </xf>
    <xf numFmtId="0" fontId="9" fillId="9" borderId="52" xfId="0" applyFont="1" applyFill="1" applyBorder="1" applyAlignment="1" applyProtection="1">
      <alignment horizontal="left" vertical="center" wrapText="1" indent="1"/>
      <protection hidden="1"/>
    </xf>
    <xf numFmtId="0" fontId="8" fillId="0" borderId="63" xfId="5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92" xfId="5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90" xfId="5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40" xfId="0" applyNumberFormat="1" applyFont="1" applyFill="1" applyBorder="1" applyAlignment="1" applyProtection="1">
      <alignment horizontal="left" vertical="center" indent="1"/>
      <protection hidden="1"/>
    </xf>
    <xf numFmtId="0" fontId="9" fillId="0" borderId="32" xfId="0" applyNumberFormat="1" applyFont="1" applyFill="1" applyBorder="1" applyAlignment="1" applyProtection="1">
      <alignment horizontal="left" vertical="center" indent="1"/>
      <protection hidden="1"/>
    </xf>
    <xf numFmtId="0" fontId="8" fillId="0" borderId="39" xfId="5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0" xfId="0" applyBorder="1" applyAlignment="1" applyProtection="1">
      <alignment horizontal="left" vertical="center" wrapText="1" indent="1"/>
      <protection locked="0"/>
    </xf>
    <xf numFmtId="0" fontId="0" fillId="0" borderId="87" xfId="0" applyBorder="1" applyAlignment="1" applyProtection="1">
      <alignment horizontal="left" vertical="center" wrapText="1" indent="1"/>
      <protection locked="0"/>
    </xf>
    <xf numFmtId="172" fontId="9" fillId="5" borderId="47" xfId="0" applyNumberFormat="1" applyFont="1" applyFill="1" applyBorder="1" applyAlignment="1" applyProtection="1">
      <alignment horizontal="center" vertical="center"/>
      <protection hidden="1"/>
    </xf>
    <xf numFmtId="172" fontId="9" fillId="5" borderId="58" xfId="0" applyNumberFormat="1" applyFont="1" applyFill="1" applyBorder="1" applyAlignment="1" applyProtection="1">
      <alignment horizontal="center" vertical="center"/>
      <protection hidden="1"/>
    </xf>
    <xf numFmtId="172" fontId="9" fillId="5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50" xfId="0" applyNumberFormat="1" applyFont="1" applyFill="1" applyBorder="1" applyAlignment="1" applyProtection="1">
      <alignment horizontal="left" vertical="center" indent="1"/>
      <protection hidden="1"/>
    </xf>
    <xf numFmtId="0" fontId="9" fillId="0" borderId="46" xfId="0" applyNumberFormat="1" applyFont="1" applyFill="1" applyBorder="1" applyAlignment="1" applyProtection="1">
      <alignment horizontal="left" vertical="center" indent="1"/>
      <protection hidden="1"/>
    </xf>
    <xf numFmtId="0" fontId="9" fillId="0" borderId="82" xfId="0" applyNumberFormat="1" applyFont="1" applyFill="1" applyBorder="1" applyAlignment="1" applyProtection="1">
      <alignment horizontal="left" vertical="center" indent="1"/>
      <protection hidden="1"/>
    </xf>
    <xf numFmtId="0" fontId="9" fillId="0" borderId="83" xfId="0" applyNumberFormat="1" applyFont="1" applyFill="1" applyBorder="1" applyAlignment="1" applyProtection="1">
      <alignment horizontal="left" vertical="center" indent="1"/>
      <protection hidden="1"/>
    </xf>
    <xf numFmtId="172" fontId="9" fillId="5" borderId="86" xfId="0" applyNumberFormat="1" applyFont="1" applyFill="1" applyBorder="1" applyAlignment="1" applyProtection="1">
      <alignment horizontal="center" vertical="top" wrapText="1"/>
      <protection hidden="1"/>
    </xf>
    <xf numFmtId="0" fontId="8" fillId="5" borderId="78" xfId="0" applyFont="1" applyFill="1" applyBorder="1" applyAlignment="1" applyProtection="1">
      <alignment horizontal="center" vertical="top" wrapText="1"/>
      <protection hidden="1"/>
    </xf>
    <xf numFmtId="0" fontId="20" fillId="5" borderId="21" xfId="0" applyFont="1" applyFill="1" applyBorder="1" applyAlignment="1" applyProtection="1">
      <alignment horizontal="left" vertical="center" wrapText="1" indent="2"/>
      <protection hidden="1"/>
    </xf>
    <xf numFmtId="0" fontId="8" fillId="0" borderId="10" xfId="0" applyFont="1" applyBorder="1" applyAlignment="1" applyProtection="1">
      <alignment horizontal="left" vertical="center" wrapText="1" indent="2"/>
      <protection hidden="1"/>
    </xf>
    <xf numFmtId="0" fontId="8" fillId="0" borderId="78" xfId="0" applyFont="1" applyBorder="1" applyAlignment="1" applyProtection="1">
      <alignment horizontal="center" vertical="top" wrapText="1"/>
      <protection hidden="1"/>
    </xf>
    <xf numFmtId="0" fontId="20" fillId="5" borderId="10" xfId="0" applyFont="1" applyFill="1" applyBorder="1" applyAlignment="1" applyProtection="1">
      <alignment horizontal="left" vertical="center" wrapText="1" indent="2"/>
      <protection hidden="1"/>
    </xf>
    <xf numFmtId="172" fontId="9" fillId="5" borderId="40" xfId="0" applyNumberFormat="1" applyFont="1" applyFill="1" applyBorder="1" applyAlignment="1" applyProtection="1">
      <alignment horizontal="center" vertical="top" wrapText="1"/>
      <protection hidden="1"/>
    </xf>
    <xf numFmtId="0" fontId="8" fillId="0" borderId="112" xfId="0" applyFont="1" applyBorder="1" applyAlignment="1" applyProtection="1">
      <alignment horizontal="center" vertical="top" wrapText="1"/>
      <protection hidden="1"/>
    </xf>
    <xf numFmtId="0" fontId="9" fillId="5" borderId="86" xfId="0" applyFont="1" applyFill="1" applyBorder="1" applyAlignment="1" applyProtection="1">
      <alignment horizontal="center" vertical="center" wrapText="1"/>
      <protection hidden="1"/>
    </xf>
    <xf numFmtId="0" fontId="9" fillId="5" borderId="85" xfId="0" applyFont="1" applyFill="1" applyBorder="1" applyAlignment="1" applyProtection="1">
      <alignment horizontal="center" vertical="center" wrapText="1"/>
      <protection hidden="1"/>
    </xf>
    <xf numFmtId="0" fontId="9" fillId="5" borderId="79" xfId="0" applyFont="1" applyFill="1" applyBorder="1" applyAlignment="1" applyProtection="1">
      <alignment horizontal="center" vertical="center" wrapText="1"/>
      <protection hidden="1"/>
    </xf>
    <xf numFmtId="0" fontId="12" fillId="0" borderId="117" xfId="14" applyFont="1" applyFill="1" applyBorder="1" applyAlignment="1" applyProtection="1">
      <alignment horizontal="center" vertical="top" wrapText="1"/>
      <protection hidden="1"/>
    </xf>
    <xf numFmtId="0" fontId="12" fillId="0" borderId="7" xfId="14" applyFont="1" applyFill="1" applyBorder="1" applyAlignment="1" applyProtection="1">
      <alignment horizontal="center" vertical="top" wrapText="1"/>
      <protection hidden="1"/>
    </xf>
    <xf numFmtId="0" fontId="12" fillId="0" borderId="84" xfId="14" applyFont="1" applyBorder="1" applyAlignment="1" applyProtection="1">
      <alignment horizontal="center" vertical="center"/>
      <protection hidden="1"/>
    </xf>
    <xf numFmtId="0" fontId="12" fillId="0" borderId="85" xfId="14" applyFont="1" applyBorder="1" applyAlignment="1" applyProtection="1">
      <alignment horizontal="center" vertical="center"/>
      <protection hidden="1"/>
    </xf>
    <xf numFmtId="0" fontId="12" fillId="0" borderId="79" xfId="14" applyFont="1" applyBorder="1" applyAlignment="1" applyProtection="1">
      <alignment horizontal="center" vertical="center"/>
      <protection hidden="1"/>
    </xf>
    <xf numFmtId="0" fontId="12" fillId="0" borderId="84" xfId="14" applyFont="1" applyBorder="1" applyAlignment="1" applyProtection="1">
      <alignment horizontal="center" vertical="center" wrapText="1"/>
      <protection hidden="1"/>
    </xf>
    <xf numFmtId="0" fontId="12" fillId="0" borderId="85" xfId="14" applyFont="1" applyBorder="1" applyAlignment="1" applyProtection="1">
      <alignment horizontal="center" vertical="center" wrapText="1"/>
      <protection hidden="1"/>
    </xf>
    <xf numFmtId="0" fontId="12" fillId="0" borderId="79" xfId="14" applyFont="1" applyBorder="1" applyAlignment="1" applyProtection="1">
      <alignment horizontal="center" vertical="center" wrapText="1"/>
      <protection hidden="1"/>
    </xf>
    <xf numFmtId="0" fontId="12" fillId="0" borderId="78" xfId="14" applyFont="1" applyBorder="1" applyAlignment="1" applyProtection="1">
      <alignment horizontal="center" vertical="center"/>
      <protection hidden="1"/>
    </xf>
    <xf numFmtId="0" fontId="12" fillId="0" borderId="86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85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62" xfId="14" applyFont="1" applyFill="1" applyBorder="1" applyAlignment="1" applyProtection="1">
      <alignment horizontal="center" vertical="top" wrapText="1"/>
      <protection hidden="1"/>
    </xf>
    <xf numFmtId="0" fontId="12" fillId="0" borderId="109" xfId="14" applyFont="1" applyFill="1" applyBorder="1" applyAlignment="1" applyProtection="1">
      <alignment horizontal="center" vertical="top"/>
      <protection hidden="1"/>
    </xf>
    <xf numFmtId="0" fontId="12" fillId="0" borderId="84" xfId="14" applyNumberFormat="1" applyFont="1" applyFill="1" applyBorder="1" applyAlignment="1" applyProtection="1">
      <alignment horizontal="center" vertical="center"/>
      <protection hidden="1"/>
    </xf>
    <xf numFmtId="0" fontId="12" fillId="0" borderId="85" xfId="14" applyNumberFormat="1" applyFont="1" applyFill="1" applyBorder="1" applyAlignment="1" applyProtection="1">
      <alignment horizontal="center" vertical="center"/>
      <protection hidden="1"/>
    </xf>
    <xf numFmtId="0" fontId="12" fillId="0" borderId="78" xfId="14" applyNumberFormat="1" applyFont="1" applyFill="1" applyBorder="1" applyAlignment="1" applyProtection="1">
      <alignment horizontal="center" vertical="center"/>
      <protection hidden="1"/>
    </xf>
    <xf numFmtId="0" fontId="12" fillId="0" borderId="25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8" xfId="14" applyNumberFormat="1" applyFont="1" applyFill="1" applyBorder="1" applyAlignment="1" applyProtection="1">
      <alignment horizontal="center" vertical="top" wrapText="1"/>
      <protection hidden="1"/>
    </xf>
    <xf numFmtId="0" fontId="12" fillId="0" borderId="84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14" applyNumberFormat="1" applyFont="1" applyFill="1" applyBorder="1" applyAlignment="1" applyProtection="1">
      <alignment horizontal="center" vertical="center" wrapText="1"/>
      <protection hidden="1"/>
    </xf>
    <xf numFmtId="0" fontId="12" fillId="0" borderId="108" xfId="14" applyFont="1" applyFill="1" applyBorder="1" applyAlignment="1" applyProtection="1">
      <alignment horizontal="center" vertical="top" wrapText="1"/>
      <protection hidden="1"/>
    </xf>
    <xf numFmtId="0" fontId="12" fillId="0" borderId="109" xfId="14" applyFont="1" applyFill="1" applyBorder="1" applyAlignment="1" applyProtection="1">
      <alignment horizontal="center" vertical="top" wrapText="1"/>
      <protection hidden="1"/>
    </xf>
    <xf numFmtId="0" fontId="12" fillId="0" borderId="62" xfId="14" applyFont="1" applyFill="1" applyBorder="1" applyAlignment="1" applyProtection="1">
      <alignment horizontal="center" vertical="top"/>
      <protection hidden="1"/>
    </xf>
    <xf numFmtId="0" fontId="12" fillId="0" borderId="39" xfId="14" applyFont="1" applyFill="1" applyBorder="1" applyAlignment="1" applyProtection="1">
      <alignment horizontal="center" vertical="top" wrapText="1"/>
      <protection hidden="1"/>
    </xf>
    <xf numFmtId="0" fontId="12" fillId="0" borderId="35" xfId="14" applyFont="1" applyFill="1" applyBorder="1" applyAlignment="1" applyProtection="1">
      <alignment horizontal="center" vertical="top" wrapText="1"/>
      <protection hidden="1"/>
    </xf>
    <xf numFmtId="0" fontId="12" fillId="0" borderId="111" xfId="14" applyFont="1" applyBorder="1" applyAlignment="1" applyProtection="1">
      <alignment horizontal="center" vertical="top" wrapText="1"/>
      <protection hidden="1"/>
    </xf>
    <xf numFmtId="0" fontId="12" fillId="0" borderId="27" xfId="14" applyFont="1" applyBorder="1" applyAlignment="1" applyProtection="1">
      <alignment horizontal="center" vertical="top" wrapText="1"/>
      <protection hidden="1"/>
    </xf>
    <xf numFmtId="0" fontId="12" fillId="0" borderId="86" xfId="14" applyFont="1" applyBorder="1" applyAlignment="1" applyProtection="1">
      <alignment horizontal="center" vertical="center"/>
      <protection hidden="1"/>
    </xf>
    <xf numFmtId="0" fontId="12" fillId="0" borderId="108" xfId="14" applyFont="1" applyFill="1" applyBorder="1" applyAlignment="1" applyProtection="1">
      <alignment horizontal="center" vertical="top"/>
      <protection hidden="1"/>
    </xf>
    <xf numFmtId="0" fontId="12" fillId="0" borderId="29" xfId="14" applyFont="1" applyFill="1" applyBorder="1" applyAlignment="1" applyProtection="1">
      <alignment horizontal="center" vertical="top" wrapText="1"/>
      <protection hidden="1"/>
    </xf>
    <xf numFmtId="0" fontId="12" fillId="0" borderId="40" xfId="14" applyFont="1" applyFill="1" applyBorder="1" applyAlignment="1" applyProtection="1">
      <alignment horizontal="center" vertical="top" wrapText="1"/>
      <protection hidden="1"/>
    </xf>
    <xf numFmtId="0" fontId="12" fillId="0" borderId="32" xfId="14" applyFont="1" applyFill="1" applyBorder="1" applyAlignment="1" applyProtection="1">
      <alignment horizontal="center" vertical="top" wrapText="1"/>
      <protection hidden="1"/>
    </xf>
    <xf numFmtId="0" fontId="12" fillId="0" borderId="40" xfId="14" applyFont="1" applyFill="1" applyBorder="1" applyAlignment="1" applyProtection="1">
      <alignment horizontal="center" vertical="top"/>
      <protection hidden="1"/>
    </xf>
    <xf numFmtId="0" fontId="12" fillId="0" borderId="35" xfId="14" applyFont="1" applyFill="1" applyBorder="1" applyAlignment="1" applyProtection="1">
      <alignment horizontal="center" vertical="top"/>
      <protection hidden="1"/>
    </xf>
    <xf numFmtId="0" fontId="12" fillId="0" borderId="50" xfId="14" applyFont="1" applyFill="1" applyBorder="1" applyAlignment="1" applyProtection="1">
      <alignment horizontal="center" vertical="top" wrapText="1"/>
      <protection hidden="1"/>
    </xf>
    <xf numFmtId="0" fontId="12" fillId="0" borderId="62" xfId="8" applyNumberFormat="1" applyFont="1" applyBorder="1" applyAlignment="1" applyProtection="1">
      <alignment horizontal="center" vertical="top" wrapText="1"/>
      <protection hidden="1"/>
    </xf>
    <xf numFmtId="0" fontId="12" fillId="0" borderId="109" xfId="8" applyNumberFormat="1" applyFont="1" applyBorder="1" applyAlignment="1" applyProtection="1">
      <alignment horizontal="center" vertical="top" wrapText="1"/>
      <protection hidden="1"/>
    </xf>
    <xf numFmtId="172" fontId="12" fillId="0" borderId="86" xfId="14" applyNumberFormat="1" applyFont="1" applyFill="1" applyBorder="1" applyAlignment="1" applyProtection="1">
      <alignment horizontal="center" vertical="center"/>
      <protection hidden="1"/>
    </xf>
    <xf numFmtId="172" fontId="12" fillId="0" borderId="85" xfId="14" applyNumberFormat="1" applyFont="1" applyFill="1" applyBorder="1" applyAlignment="1" applyProtection="1">
      <alignment horizontal="center" vertical="center"/>
      <protection hidden="1"/>
    </xf>
    <xf numFmtId="172" fontId="12" fillId="0" borderId="79" xfId="14" applyNumberFormat="1" applyFont="1" applyFill="1" applyBorder="1" applyAlignment="1" applyProtection="1">
      <alignment horizontal="center" vertical="center"/>
      <protection hidden="1"/>
    </xf>
  </cellXfs>
  <cellStyles count="20">
    <cellStyle name="Comma 2" xfId="1"/>
    <cellStyle name="Comma 2 2" xfId="2"/>
    <cellStyle name="Comma 2 2 2" xfId="16"/>
    <cellStyle name="Comma 2 3" xfId="15"/>
    <cellStyle name="Comma 3" xfId="3"/>
    <cellStyle name="Comma 3 2" xfId="17"/>
    <cellStyle name="Comma 3 3" xfId="13"/>
    <cellStyle name="Normal" xfId="0" builtinId="0"/>
    <cellStyle name="Normal 2" xfId="4"/>
    <cellStyle name="Normal 2 2" xfId="5"/>
    <cellStyle name="Normal 2 3" xfId="12"/>
    <cellStyle name="Normal 2_RUK by FSG, 08-09 to 10-11" xfId="11"/>
    <cellStyle name="Normal 3" xfId="6"/>
    <cellStyle name="Normal 3 2" xfId="18"/>
    <cellStyle name="Normal 4" xfId="14"/>
    <cellStyle name="Normal 4 2" xfId="19"/>
    <cellStyle name="Normal_ABDN" xfId="7"/>
    <cellStyle name="Normal_GFU and SSI Teaching Grants for 2012-13, Additional Science inc STEM" xfId="8"/>
    <cellStyle name="Normal_Linked Table3 2004-05" xfId="9"/>
    <cellStyle name="Normal_Table1 ABER first cut" xfId="10"/>
  </cellStyles>
  <dxfs count="142">
    <dxf>
      <font>
        <b/>
        <i val="0"/>
        <color rgb="FFFF0000"/>
      </font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auto="1"/>
      </font>
      <fill>
        <patternFill>
          <bgColor rgb="FFCCFFFF"/>
        </patternFill>
      </fill>
    </dxf>
    <dxf>
      <fill>
        <patternFill patternType="solid">
          <bgColor rgb="FFFF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FFFFFF"/>
        </patternFill>
      </fill>
    </dxf>
    <dxf>
      <fill>
        <patternFill>
          <bgColor rgb="FFCCFFFF"/>
        </patternFill>
      </fill>
    </dxf>
    <dxf>
      <font>
        <color rgb="FFCCFFFF"/>
      </font>
    </dxf>
    <dxf>
      <font>
        <color rgb="FFCCFFFF"/>
      </font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CCFFFF"/>
      </font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ill>
        <patternFill>
          <bgColor rgb="FFFFFFFF"/>
        </patternFill>
      </fill>
    </dxf>
    <dxf>
      <font>
        <color rgb="FFCCFFFF"/>
      </font>
    </dxf>
    <dxf>
      <fill>
        <patternFill>
          <bgColor rgb="FFCCFFFF"/>
        </patternFill>
      </fill>
    </dxf>
    <dxf>
      <font>
        <b/>
        <i/>
        <condense val="0"/>
        <extend val="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rgb="FFCCFFFF"/>
      </font>
    </dxf>
    <dxf>
      <fill>
        <patternFill>
          <bgColor rgb="FFCCFFFF"/>
        </patternFill>
      </fill>
    </dxf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CCC0DA"/>
      <color rgb="FFCCECFF"/>
      <color rgb="FF66CCFF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80" zoomScaleNormal="80" workbookViewId="0"/>
  </sheetViews>
  <sheetFormatPr defaultColWidth="9.140625" defaultRowHeight="15"/>
  <cols>
    <col min="1" max="1" width="3.7109375" style="1105" customWidth="1"/>
    <col min="2" max="2" width="7.7109375" style="1105" customWidth="1"/>
    <col min="3" max="3" width="145.7109375" style="1105" customWidth="1"/>
    <col min="4" max="4" width="14.28515625" style="1105" customWidth="1"/>
    <col min="5" max="16384" width="9.140625" style="1105"/>
  </cols>
  <sheetData>
    <row r="1" spans="1:5" ht="24.95" customHeight="1">
      <c r="A1" s="971"/>
      <c r="B1" s="972" t="s">
        <v>340</v>
      </c>
      <c r="C1" s="973"/>
      <c r="D1" s="973"/>
      <c r="E1" s="974"/>
    </row>
    <row r="2" spans="1:5" ht="24.95" customHeight="1">
      <c r="A2" s="975"/>
      <c r="B2" s="821" t="s">
        <v>0</v>
      </c>
      <c r="C2" s="967"/>
      <c r="D2" s="967"/>
      <c r="E2" s="976"/>
    </row>
    <row r="3" spans="1:5" ht="24.95" customHeight="1">
      <c r="A3" s="975"/>
      <c r="B3" s="1753" t="str">
        <f>VLOOKUP('Background Data'!$C$2,Inst_Tables,2,FALSE)</f>
        <v>Glasgow, University of</v>
      </c>
      <c r="C3" s="1754"/>
      <c r="D3" s="970"/>
      <c r="E3" s="977"/>
    </row>
    <row r="4" spans="1:5" ht="24.95" customHeight="1">
      <c r="A4" s="975"/>
      <c r="B4" s="890" t="s">
        <v>277</v>
      </c>
      <c r="C4" s="414"/>
      <c r="D4" s="414"/>
      <c r="E4" s="818"/>
    </row>
    <row r="5" spans="1:5" ht="9.9499999999999993" customHeight="1" thickBot="1">
      <c r="A5" s="975"/>
      <c r="B5" s="414"/>
      <c r="C5" s="414"/>
      <c r="D5" s="414"/>
      <c r="E5" s="818"/>
    </row>
    <row r="6" spans="1:5" ht="24.95" customHeight="1">
      <c r="A6" s="975"/>
      <c r="B6" s="1749" t="s">
        <v>278</v>
      </c>
      <c r="C6" s="1750"/>
      <c r="D6" s="1751" t="s">
        <v>279</v>
      </c>
      <c r="E6" s="818"/>
    </row>
    <row r="7" spans="1:5" ht="45" customHeight="1">
      <c r="A7" s="975"/>
      <c r="B7" s="968" t="s">
        <v>187</v>
      </c>
      <c r="C7" s="969" t="s">
        <v>130</v>
      </c>
      <c r="D7" s="1752"/>
      <c r="E7" s="818"/>
    </row>
    <row r="8" spans="1:5" ht="30" customHeight="1">
      <c r="A8" s="975"/>
      <c r="B8" s="1696">
        <v>1</v>
      </c>
      <c r="C8" s="982" t="s">
        <v>219</v>
      </c>
      <c r="D8" s="989" t="s">
        <v>280</v>
      </c>
      <c r="E8" s="979"/>
    </row>
    <row r="9" spans="1:5" ht="30" customHeight="1">
      <c r="A9" s="975"/>
      <c r="B9" s="1697" t="s">
        <v>147</v>
      </c>
      <c r="C9" s="981" t="s">
        <v>352</v>
      </c>
      <c r="D9" s="980" t="str">
        <f>IF(E9&gt;0,"YES","")</f>
        <v>YES</v>
      </c>
      <c r="E9" s="988">
        <f>VLOOKUP('Background Data'!$C$2,Inst_Tables,3,FALSE)</f>
        <v>1</v>
      </c>
    </row>
    <row r="10" spans="1:5" ht="30" customHeight="1">
      <c r="A10" s="975"/>
      <c r="B10" s="1697" t="s">
        <v>148</v>
      </c>
      <c r="C10" s="981" t="s">
        <v>343</v>
      </c>
      <c r="D10" s="980" t="str">
        <f t="shared" ref="D10:D20" si="0">IF(E10&gt;0,"YES","")</f>
        <v/>
      </c>
      <c r="E10" s="988">
        <f>VLOOKUP('Background Data'!$C$2,Inst_Tables,4,FALSE)</f>
        <v>0</v>
      </c>
    </row>
    <row r="11" spans="1:5" ht="30" customHeight="1">
      <c r="A11" s="975"/>
      <c r="B11" s="1697" t="s">
        <v>149</v>
      </c>
      <c r="C11" s="981" t="s">
        <v>353</v>
      </c>
      <c r="D11" s="980" t="str">
        <f t="shared" si="0"/>
        <v>YES</v>
      </c>
      <c r="E11" s="988">
        <f>VLOOKUP('Background Data'!$C$2,Inst_Tables,5,FALSE)</f>
        <v>1</v>
      </c>
    </row>
    <row r="12" spans="1:5" ht="30" customHeight="1">
      <c r="A12" s="975"/>
      <c r="B12" s="1697" t="s">
        <v>240</v>
      </c>
      <c r="C12" s="981" t="s">
        <v>354</v>
      </c>
      <c r="D12" s="980" t="str">
        <f t="shared" si="0"/>
        <v>YES</v>
      </c>
      <c r="E12" s="988">
        <f>VLOOKUP('Background Data'!$C$2,Inst_Tables,6,FALSE)</f>
        <v>1</v>
      </c>
    </row>
    <row r="13" spans="1:5" ht="30" customHeight="1">
      <c r="A13" s="975"/>
      <c r="B13" s="1697">
        <v>3</v>
      </c>
      <c r="C13" s="981" t="s">
        <v>355</v>
      </c>
      <c r="D13" s="980" t="str">
        <f t="shared" si="0"/>
        <v>YES</v>
      </c>
      <c r="E13" s="988">
        <f>VLOOKUP('Background Data'!$C$2,Inst_Tables,7,FALSE)</f>
        <v>1</v>
      </c>
    </row>
    <row r="14" spans="1:5" ht="30" customHeight="1">
      <c r="A14" s="975"/>
      <c r="B14" s="1697" t="s">
        <v>226</v>
      </c>
      <c r="C14" s="981" t="s">
        <v>356</v>
      </c>
      <c r="D14" s="980" t="str">
        <f t="shared" si="0"/>
        <v/>
      </c>
      <c r="E14" s="988">
        <f>VLOOKUP('Background Data'!$C$2,Inst_Tables,8,FALSE)</f>
        <v>0</v>
      </c>
    </row>
    <row r="15" spans="1:5" ht="30" customHeight="1">
      <c r="A15" s="975"/>
      <c r="B15" s="1697" t="s">
        <v>227</v>
      </c>
      <c r="C15" s="981" t="s">
        <v>357</v>
      </c>
      <c r="D15" s="980" t="str">
        <f t="shared" si="0"/>
        <v>YES</v>
      </c>
      <c r="E15" s="988">
        <f>VLOOKUP('Background Data'!$C$2,Inst_Tables,9,FALSE)</f>
        <v>1</v>
      </c>
    </row>
    <row r="16" spans="1:5" ht="30" customHeight="1">
      <c r="A16" s="975"/>
      <c r="B16" s="1697" t="s">
        <v>188</v>
      </c>
      <c r="C16" s="981" t="s">
        <v>358</v>
      </c>
      <c r="D16" s="980" t="str">
        <f t="shared" si="0"/>
        <v>YES</v>
      </c>
      <c r="E16" s="988">
        <f>VLOOKUP('Background Data'!$C$2,Inst_Tables,10,FALSE)</f>
        <v>1</v>
      </c>
    </row>
    <row r="17" spans="1:5" ht="30" customHeight="1">
      <c r="A17" s="975"/>
      <c r="B17" s="1697" t="s">
        <v>189</v>
      </c>
      <c r="C17" s="981" t="s">
        <v>359</v>
      </c>
      <c r="D17" s="980" t="str">
        <f t="shared" si="0"/>
        <v>YES</v>
      </c>
      <c r="E17" s="988">
        <f>VLOOKUP('Background Data'!$C$2,Inst_Tables,11,FALSE)</f>
        <v>1</v>
      </c>
    </row>
    <row r="18" spans="1:5" ht="30" customHeight="1">
      <c r="A18" s="975"/>
      <c r="B18" s="1697" t="s">
        <v>190</v>
      </c>
      <c r="C18" s="981" t="s">
        <v>360</v>
      </c>
      <c r="D18" s="980" t="str">
        <f t="shared" si="0"/>
        <v>YES</v>
      </c>
      <c r="E18" s="988">
        <f>VLOOKUP('Background Data'!$C$2,Inst_Tables,12,FALSE)</f>
        <v>1</v>
      </c>
    </row>
    <row r="19" spans="1:5" ht="30" customHeight="1">
      <c r="A19" s="975"/>
      <c r="B19" s="1697" t="s">
        <v>191</v>
      </c>
      <c r="C19" s="981" t="s">
        <v>361</v>
      </c>
      <c r="D19" s="980" t="str">
        <f t="shared" si="0"/>
        <v>YES</v>
      </c>
      <c r="E19" s="988">
        <f>VLOOKUP('Background Data'!$C$2,Inst_Tables,13,FALSE)</f>
        <v>1</v>
      </c>
    </row>
    <row r="20" spans="1:5" ht="30" customHeight="1">
      <c r="A20" s="975"/>
      <c r="B20" s="1698" t="s">
        <v>192</v>
      </c>
      <c r="C20" s="983" t="s">
        <v>386</v>
      </c>
      <c r="D20" s="984" t="str">
        <f t="shared" si="0"/>
        <v>YES</v>
      </c>
      <c r="E20" s="988">
        <f>VLOOKUP('Background Data'!$C$2,Inst_Tables,14,FALSE)</f>
        <v>1</v>
      </c>
    </row>
    <row r="21" spans="1:5" ht="30" customHeight="1">
      <c r="A21" s="975"/>
      <c r="B21" s="1698" t="s">
        <v>408</v>
      </c>
      <c r="C21" s="983" t="s">
        <v>417</v>
      </c>
      <c r="D21" s="984" t="str">
        <f t="shared" ref="D21" si="1">IF(E21&gt;0,"YES","")</f>
        <v/>
      </c>
      <c r="E21" s="988">
        <f>VLOOKUP('Background Data'!$C$2,Inst_Tables,15,FALSE)</f>
        <v>0</v>
      </c>
    </row>
    <row r="22" spans="1:5" ht="30" customHeight="1" thickBot="1">
      <c r="A22" s="975"/>
      <c r="B22" s="1699">
        <v>6</v>
      </c>
      <c r="C22" s="1700" t="s">
        <v>418</v>
      </c>
      <c r="D22" s="1701" t="s">
        <v>280</v>
      </c>
      <c r="E22" s="979"/>
    </row>
    <row r="23" spans="1:5" ht="30" customHeight="1" thickTop="1" thickBot="1">
      <c r="A23" s="975"/>
      <c r="B23" s="985"/>
      <c r="C23" s="986" t="s">
        <v>335</v>
      </c>
      <c r="D23" s="987" t="s">
        <v>281</v>
      </c>
      <c r="E23" s="818"/>
    </row>
    <row r="24" spans="1:5">
      <c r="A24" s="978"/>
      <c r="B24" s="773"/>
      <c r="C24" s="773"/>
      <c r="D24" s="773"/>
      <c r="E24" s="775"/>
    </row>
  </sheetData>
  <sheetProtection password="E23E" sheet="1" objects="1" scenarios="1"/>
  <mergeCells count="3">
    <mergeCell ref="B6:C6"/>
    <mergeCell ref="D6:D7"/>
    <mergeCell ref="B3:C3"/>
  </mergeCells>
  <conditionalFormatting sqref="B9:D21">
    <cfRule type="expression" dxfId="141" priority="1">
      <formula>$E9&gt;0</formula>
    </cfRule>
  </conditionalFormatting>
  <pageMargins left="0.19685039370078741" right="0.19685039370078741" top="0.19685039370078741" bottom="0.39370078740157483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zoomScale="80" zoomScaleNormal="80" workbookViewId="0">
      <selection activeCell="D11" sqref="D11"/>
    </sheetView>
  </sheetViews>
  <sheetFormatPr defaultColWidth="9.140625" defaultRowHeight="15"/>
  <cols>
    <col min="1" max="1" width="2.7109375" style="1547" customWidth="1"/>
    <col min="2" max="2" width="78.7109375" style="1547" customWidth="1"/>
    <col min="3" max="3" width="13.7109375" style="1547" customWidth="1"/>
    <col min="4" max="4" width="12.7109375" style="1547" customWidth="1"/>
    <col min="5" max="5" width="8.7109375" style="1547" customWidth="1"/>
    <col min="6" max="16384" width="9.140625" style="1547"/>
  </cols>
  <sheetData>
    <row r="1" spans="1:5" ht="39.950000000000003" customHeight="1">
      <c r="A1" s="414"/>
      <c r="B1" s="461" t="str">
        <f>IF(C4=0,"Your Institution Does Not Complete This Table","")</f>
        <v/>
      </c>
      <c r="C1" s="461"/>
      <c r="D1" s="461"/>
      <c r="E1" s="8"/>
    </row>
    <row r="2" spans="1:5" s="1570" customFormat="1" ht="30" customHeight="1">
      <c r="A2" s="893"/>
      <c r="B2" s="743" t="s">
        <v>372</v>
      </c>
      <c r="C2" s="743"/>
      <c r="D2" s="743"/>
      <c r="E2" s="745"/>
    </row>
    <row r="3" spans="1:5" ht="35.1" customHeight="1">
      <c r="A3" s="752"/>
      <c r="B3" s="889" t="s">
        <v>0</v>
      </c>
      <c r="C3" s="1010"/>
      <c r="D3" s="803"/>
      <c r="E3" s="818"/>
    </row>
    <row r="4" spans="1:5" ht="35.1" customHeight="1">
      <c r="A4" s="752"/>
      <c r="B4" s="806" t="str">
        <f>VLOOKUP('Background Data'!$C$2,Inst_Tables,2,FALSE)</f>
        <v>Glasgow, University of</v>
      </c>
      <c r="C4" s="1011">
        <f>VLOOKUP('Background Data'!$C$2,Inst_Tables,10,FALSE)</f>
        <v>1</v>
      </c>
      <c r="D4" s="803"/>
      <c r="E4" s="988"/>
    </row>
    <row r="5" spans="1:5" s="1553" customFormat="1" ht="35.1" customHeight="1">
      <c r="A5" s="816"/>
      <c r="B5" s="890" t="s">
        <v>358</v>
      </c>
      <c r="C5" s="890"/>
      <c r="D5" s="890"/>
      <c r="E5" s="748"/>
    </row>
    <row r="6" spans="1:5" s="1553" customFormat="1" ht="30" customHeight="1">
      <c r="A6" s="816"/>
      <c r="B6" s="19" t="s">
        <v>434</v>
      </c>
      <c r="C6" s="19"/>
      <c r="D6" s="19"/>
      <c r="E6" s="748"/>
    </row>
    <row r="7" spans="1:5" s="1553" customFormat="1" ht="24.95" customHeight="1">
      <c r="A7" s="816"/>
      <c r="B7" s="19" t="s">
        <v>296</v>
      </c>
      <c r="C7" s="19"/>
      <c r="D7" s="19"/>
      <c r="E7" s="748"/>
    </row>
    <row r="8" spans="1:5" s="1553" customFormat="1" ht="15" customHeight="1" thickBot="1">
      <c r="A8" s="816"/>
      <c r="B8" s="817"/>
      <c r="C8" s="817"/>
      <c r="D8" s="817"/>
      <c r="E8" s="754"/>
    </row>
    <row r="9" spans="1:5" s="1553" customFormat="1" ht="24.95" customHeight="1">
      <c r="A9" s="900"/>
      <c r="B9" s="993"/>
      <c r="C9" s="994"/>
      <c r="D9" s="996" t="s">
        <v>18</v>
      </c>
      <c r="E9" s="992"/>
    </row>
    <row r="10" spans="1:5" ht="35.1" customHeight="1">
      <c r="A10" s="752"/>
      <c r="B10" s="999" t="s">
        <v>284</v>
      </c>
      <c r="C10" s="997" t="s">
        <v>57</v>
      </c>
      <c r="D10" s="998">
        <f>VLOOKUP('Background Data'!$C$2,Inst_FPs,3,FALSE)</f>
        <v>150</v>
      </c>
      <c r="E10" s="149"/>
    </row>
    <row r="11" spans="1:5" ht="35.1" customHeight="1">
      <c r="A11" s="752"/>
      <c r="B11" s="1000" t="s">
        <v>373</v>
      </c>
      <c r="C11" s="1002" t="s">
        <v>31</v>
      </c>
      <c r="D11" s="1003">
        <v>223</v>
      </c>
      <c r="E11" s="149"/>
    </row>
    <row r="12" spans="1:5" ht="35.1" customHeight="1" thickBot="1">
      <c r="A12" s="752"/>
      <c r="B12" s="1001" t="s">
        <v>283</v>
      </c>
      <c r="C12" s="1004" t="s">
        <v>56</v>
      </c>
      <c r="D12" s="813">
        <f>IF(D10&gt;0,D11-D10,"")</f>
        <v>73</v>
      </c>
      <c r="E12" s="149"/>
    </row>
    <row r="13" spans="1:5" ht="30" customHeight="1">
      <c r="A13" s="752"/>
      <c r="B13" s="891" t="s">
        <v>287</v>
      </c>
      <c r="C13" s="891"/>
      <c r="D13" s="891"/>
      <c r="E13" s="149"/>
    </row>
    <row r="14" spans="1:5" ht="24.95" customHeight="1">
      <c r="A14" s="752"/>
      <c r="B14" s="891" t="s">
        <v>286</v>
      </c>
      <c r="C14" s="891"/>
      <c r="D14" s="891"/>
      <c r="E14" s="149"/>
    </row>
    <row r="15" spans="1:5" ht="15" customHeight="1">
      <c r="A15" s="776"/>
      <c r="B15" s="892"/>
      <c r="C15" s="892"/>
      <c r="D15" s="892"/>
      <c r="E15" s="775"/>
    </row>
    <row r="16" spans="1:5" s="1571" customFormat="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 password="E23E" sheet="1" objects="1" scenarios="1"/>
  <conditionalFormatting sqref="D11">
    <cfRule type="expression" dxfId="37" priority="103">
      <formula>$C$4=0</formula>
    </cfRule>
  </conditionalFormatting>
  <conditionalFormatting sqref="A1:E1">
    <cfRule type="expression" dxfId="36" priority="105">
      <formula>$C$4=0</formula>
    </cfRule>
  </conditionalFormatting>
  <dataValidations count="2">
    <dataValidation allowBlank="1" sqref="E5:E14 B10:C12 D9:D10 D12 B16:D65484 E15:E65484 C3 B4 F1:IO1048576"/>
    <dataValidation type="custom" allowBlank="1" showErrorMessage="1" errorTitle="No HFU funded places" error="You cannot enter HFU funded student FTE where no HFU funded places exist " sqref="D11">
      <formula1>AND($D10&gt;0,$D11&gt;=0)</formula1>
    </dataValidation>
  </dataValidations>
  <pageMargins left="0.19685039370078741" right="0.19685039370078741" top="0.19685039370078741" bottom="0.39370078740157483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0"/>
  <sheetViews>
    <sheetView topLeftCell="A7" zoomScale="80" zoomScaleNormal="80" workbookViewId="0">
      <selection activeCell="B18" sqref="B18"/>
    </sheetView>
  </sheetViews>
  <sheetFormatPr defaultColWidth="9.140625" defaultRowHeight="15"/>
  <cols>
    <col min="1" max="1" width="2.7109375" style="1547" customWidth="1"/>
    <col min="2" max="2" width="76" style="1547" customWidth="1"/>
    <col min="3" max="3" width="18.7109375" style="1547" customWidth="1"/>
    <col min="4" max="4" width="5.7109375" style="1547" customWidth="1"/>
    <col min="5" max="16384" width="9.140625" style="1547"/>
  </cols>
  <sheetData>
    <row r="1" spans="1:4" ht="39.950000000000003" customHeight="1">
      <c r="A1" s="418"/>
      <c r="B1" s="895" t="str">
        <f>IF(C4=0,"Your Institution Does Not Complete This Table","")</f>
        <v/>
      </c>
      <c r="C1" s="894"/>
      <c r="D1" s="894"/>
    </row>
    <row r="2" spans="1:4" s="1570" customFormat="1" ht="30" customHeight="1">
      <c r="A2" s="893"/>
      <c r="B2" s="743" t="s">
        <v>374</v>
      </c>
      <c r="C2" s="743"/>
      <c r="D2" s="745"/>
    </row>
    <row r="3" spans="1:4" ht="39.950000000000003" customHeight="1">
      <c r="A3" s="752"/>
      <c r="B3" s="889" t="s">
        <v>0</v>
      </c>
      <c r="C3" s="414"/>
      <c r="D3" s="761"/>
    </row>
    <row r="4" spans="1:4" ht="39.950000000000003" customHeight="1">
      <c r="A4" s="752"/>
      <c r="B4" s="806" t="str">
        <f>VLOOKUP('Background Data'!$C$2,Inst_Tables,2,FALSE)</f>
        <v>Glasgow, University of</v>
      </c>
      <c r="C4" s="1012">
        <f>VLOOKUP('Background Data'!$C$2,Inst_Tables,11,FALSE)</f>
        <v>1</v>
      </c>
      <c r="D4" s="818"/>
    </row>
    <row r="5" spans="1:4" s="1553" customFormat="1" ht="30" customHeight="1">
      <c r="A5" s="816"/>
      <c r="B5" s="855" t="s">
        <v>359</v>
      </c>
      <c r="C5" s="465"/>
      <c r="D5" s="748"/>
    </row>
    <row r="6" spans="1:4" s="1553" customFormat="1" ht="24.95" customHeight="1">
      <c r="A6" s="816"/>
      <c r="B6" s="19" t="s">
        <v>435</v>
      </c>
      <c r="C6" s="465"/>
      <c r="D6" s="748"/>
    </row>
    <row r="7" spans="1:4" s="1553" customFormat="1" ht="24.95" customHeight="1">
      <c r="A7" s="816"/>
      <c r="B7" s="19" t="s">
        <v>296</v>
      </c>
      <c r="C7" s="465"/>
      <c r="D7" s="748"/>
    </row>
    <row r="8" spans="1:4" ht="15" customHeight="1" thickBot="1">
      <c r="A8" s="752"/>
      <c r="B8" s="787"/>
      <c r="C8" s="787"/>
      <c r="D8" s="788"/>
    </row>
    <row r="9" spans="1:4" ht="120" customHeight="1">
      <c r="A9" s="752"/>
      <c r="B9" s="1183" t="s">
        <v>285</v>
      </c>
      <c r="C9" s="1184" t="s">
        <v>375</v>
      </c>
      <c r="D9" s="761"/>
    </row>
    <row r="10" spans="1:4" ht="24.95" customHeight="1">
      <c r="A10" s="752"/>
      <c r="B10" s="1007"/>
      <c r="C10" s="1008" t="s">
        <v>18</v>
      </c>
      <c r="D10" s="761"/>
    </row>
    <row r="11" spans="1:4" ht="24.95" customHeight="1">
      <c r="A11" s="752"/>
      <c r="B11" s="796"/>
      <c r="C11" s="1008" t="s">
        <v>31</v>
      </c>
      <c r="D11" s="761"/>
    </row>
    <row r="12" spans="1:4" ht="24.95" customHeight="1" thickBot="1">
      <c r="A12" s="752"/>
      <c r="B12" s="797"/>
      <c r="C12" s="1181">
        <v>1</v>
      </c>
      <c r="D12" s="761"/>
    </row>
    <row r="13" spans="1:4" ht="35.1" customHeight="1">
      <c r="A13" s="752"/>
      <c r="B13" s="798" t="s">
        <v>465</v>
      </c>
      <c r="C13" s="1058">
        <v>10</v>
      </c>
      <c r="D13" s="761"/>
    </row>
    <row r="14" spans="1:4" ht="35.1" customHeight="1">
      <c r="A14" s="752"/>
      <c r="B14" s="798" t="s">
        <v>466</v>
      </c>
      <c r="C14" s="1058">
        <v>1</v>
      </c>
      <c r="D14" s="761"/>
    </row>
    <row r="15" spans="1:4" ht="35.1" customHeight="1">
      <c r="A15" s="752"/>
      <c r="B15" s="798" t="s">
        <v>467</v>
      </c>
      <c r="C15" s="1058">
        <v>1</v>
      </c>
      <c r="D15" s="761"/>
    </row>
    <row r="16" spans="1:4" ht="35.1" customHeight="1">
      <c r="A16" s="752"/>
      <c r="B16" s="798"/>
      <c r="C16" s="1058"/>
      <c r="D16" s="761"/>
    </row>
    <row r="17" spans="1:4" ht="35.1" customHeight="1">
      <c r="A17" s="752"/>
      <c r="B17" s="798"/>
      <c r="C17" s="1058"/>
      <c r="D17" s="761"/>
    </row>
    <row r="18" spans="1:4" ht="35.1" customHeight="1">
      <c r="A18" s="752"/>
      <c r="B18" s="798"/>
      <c r="C18" s="1058"/>
      <c r="D18" s="761"/>
    </row>
    <row r="19" spans="1:4" ht="35.1" customHeight="1">
      <c r="A19" s="752"/>
      <c r="B19" s="798"/>
      <c r="C19" s="1058"/>
      <c r="D19" s="761"/>
    </row>
    <row r="20" spans="1:4" ht="35.1" customHeight="1">
      <c r="A20" s="752"/>
      <c r="B20" s="798"/>
      <c r="C20" s="1058"/>
      <c r="D20" s="761"/>
    </row>
    <row r="21" spans="1:4" ht="35.1" customHeight="1">
      <c r="A21" s="752"/>
      <c r="B21" s="798"/>
      <c r="C21" s="1058"/>
      <c r="D21" s="761"/>
    </row>
    <row r="22" spans="1:4" ht="35.1" customHeight="1">
      <c r="A22" s="752"/>
      <c r="B22" s="1005"/>
      <c r="C22" s="1060"/>
      <c r="D22" s="761"/>
    </row>
    <row r="23" spans="1:4" ht="35.1" customHeight="1">
      <c r="A23" s="752"/>
      <c r="B23" s="1006" t="s">
        <v>2</v>
      </c>
      <c r="C23" s="1185">
        <f>SUM(C13:C22)</f>
        <v>12</v>
      </c>
      <c r="D23" s="761"/>
    </row>
    <row r="24" spans="1:4" ht="35.1" customHeight="1">
      <c r="A24" s="752"/>
      <c r="B24" s="799" t="s">
        <v>172</v>
      </c>
      <c r="C24" s="1009">
        <f>VLOOKUP('Background Data'!$C$2,Inst_FPs,4,FALSE)</f>
        <v>8</v>
      </c>
      <c r="D24" s="761"/>
    </row>
    <row r="25" spans="1:4" ht="35.1" customHeight="1" thickBot="1">
      <c r="A25" s="752"/>
      <c r="B25" s="800" t="s">
        <v>283</v>
      </c>
      <c r="C25" s="930">
        <f>IF(C24&gt;0,C23-C24,"")</f>
        <v>4</v>
      </c>
      <c r="D25" s="761"/>
    </row>
    <row r="26" spans="1:4" ht="30" customHeight="1">
      <c r="A26" s="752"/>
      <c r="B26" s="891" t="s">
        <v>314</v>
      </c>
      <c r="C26" s="414"/>
      <c r="D26" s="761"/>
    </row>
    <row r="27" spans="1:4" ht="20.100000000000001" customHeight="1">
      <c r="A27" s="752"/>
      <c r="B27" s="891" t="s">
        <v>313</v>
      </c>
      <c r="C27" s="414"/>
      <c r="D27" s="761"/>
    </row>
    <row r="28" spans="1:4" ht="20.100000000000001" customHeight="1">
      <c r="A28" s="776"/>
      <c r="B28" s="773"/>
      <c r="C28" s="773"/>
      <c r="D28" s="775"/>
    </row>
    <row r="29" spans="1:4" s="1571" customFormat="1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 password="E23E" sheet="1" objects="1" scenarios="1"/>
  <conditionalFormatting sqref="B2">
    <cfRule type="expression" dxfId="35" priority="18" stopIfTrue="1">
      <formula>#REF!=0</formula>
    </cfRule>
  </conditionalFormatting>
  <conditionalFormatting sqref="B8">
    <cfRule type="expression" dxfId="34" priority="10" stopIfTrue="1">
      <formula>#REF!=0</formula>
    </cfRule>
  </conditionalFormatting>
  <conditionalFormatting sqref="A1:D1">
    <cfRule type="expression" dxfId="33" priority="107">
      <formula>$C$4=0</formula>
    </cfRule>
  </conditionalFormatting>
  <conditionalFormatting sqref="B13:C22">
    <cfRule type="expression" dxfId="32" priority="108">
      <formula>$C$4=0</formula>
    </cfRule>
  </conditionalFormatting>
  <dataValidations count="1">
    <dataValidation allowBlank="1" sqref="B28 B4 C2 B29:D65497 C9:C28 B9:B25 D5:D28 E1:IN1048576"/>
  </dataValidations>
  <pageMargins left="0.19685039370078741" right="0.19685039370078741" top="0.19685039370078741" bottom="0.39370078740157483" header="0" footer="0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topLeftCell="C24" zoomScale="80" zoomScaleNormal="80" workbookViewId="0"/>
  </sheetViews>
  <sheetFormatPr defaultColWidth="9.140625" defaultRowHeight="15"/>
  <cols>
    <col min="1" max="1" width="2.7109375" style="1582" customWidth="1"/>
    <col min="2" max="2" width="110.7109375" style="1582" customWidth="1"/>
    <col min="3" max="3" width="18.7109375" style="1634" customWidth="1"/>
    <col min="4" max="4" width="5.7109375" style="1582" customWidth="1"/>
    <col min="5" max="5" width="110.7109375" style="1582" customWidth="1"/>
    <col min="6" max="6" width="18.7109375" style="1634" customWidth="1"/>
    <col min="7" max="16384" width="9.140625" style="1582"/>
  </cols>
  <sheetData>
    <row r="1" spans="1:7" ht="39.950000000000003" customHeight="1">
      <c r="A1" s="1579"/>
      <c r="B1" s="461" t="str">
        <f>IF(C4=0,"Your Institution Does Not Complete This Table","")</f>
        <v/>
      </c>
      <c r="C1" s="1581"/>
      <c r="D1" s="1579"/>
      <c r="E1" s="1580" t="s">
        <v>389</v>
      </c>
      <c r="F1" s="1581"/>
      <c r="G1" s="1579"/>
    </row>
    <row r="2" spans="1:7" s="1589" customFormat="1" ht="30" customHeight="1">
      <c r="A2" s="1583"/>
      <c r="B2" s="1584" t="s">
        <v>376</v>
      </c>
      <c r="C2" s="1585"/>
      <c r="D2" s="1586"/>
      <c r="E2" s="1587"/>
      <c r="F2" s="1585"/>
      <c r="G2" s="1588"/>
    </row>
    <row r="3" spans="1:7" ht="35.1" customHeight="1">
      <c r="A3" s="1590"/>
      <c r="B3" s="1591" t="s">
        <v>0</v>
      </c>
      <c r="C3" s="1592"/>
      <c r="D3" s="1592"/>
      <c r="E3" s="1593"/>
      <c r="F3" s="1592"/>
      <c r="G3" s="1594"/>
    </row>
    <row r="4" spans="1:7" ht="35.1" customHeight="1">
      <c r="A4" s="1590"/>
      <c r="B4" s="1595" t="str">
        <f>VLOOKUP('Background Data'!$C$2,Inst_Tables,2,FALSE)</f>
        <v>Glasgow, University of</v>
      </c>
      <c r="C4" s="815">
        <f>VLOOKUP('Background Data'!$C$2,Inst_Tables,12,FALSE)</f>
        <v>1</v>
      </c>
      <c r="D4" s="1596"/>
      <c r="E4" s="1597"/>
      <c r="F4" s="1596">
        <v>1</v>
      </c>
      <c r="G4" s="1594"/>
    </row>
    <row r="5" spans="1:7" s="1604" customFormat="1" ht="30" customHeight="1">
      <c r="A5" s="1598"/>
      <c r="B5" s="1599" t="s">
        <v>390</v>
      </c>
      <c r="C5" s="1600"/>
      <c r="D5" s="1601"/>
      <c r="E5" s="1602" t="s">
        <v>391</v>
      </c>
      <c r="F5" s="1600"/>
      <c r="G5" s="1603"/>
    </row>
    <row r="6" spans="1:7" s="1604" customFormat="1" ht="24.95" customHeight="1">
      <c r="A6" s="1598"/>
      <c r="B6" s="1599" t="s">
        <v>392</v>
      </c>
      <c r="C6" s="1600"/>
      <c r="D6" s="1601"/>
      <c r="E6" s="1599" t="s">
        <v>393</v>
      </c>
      <c r="F6" s="1600"/>
      <c r="G6" s="1603"/>
    </row>
    <row r="7" spans="1:7" s="1604" customFormat="1" ht="24.95" customHeight="1">
      <c r="A7" s="1598"/>
      <c r="B7" s="1599" t="s">
        <v>436</v>
      </c>
      <c r="C7" s="1600"/>
      <c r="D7" s="1601"/>
      <c r="E7" s="1599" t="s">
        <v>436</v>
      </c>
      <c r="F7" s="1600"/>
      <c r="G7" s="1603"/>
    </row>
    <row r="8" spans="1:7" s="1604" customFormat="1" ht="24.95" customHeight="1">
      <c r="A8" s="1598"/>
      <c r="B8" s="1599"/>
      <c r="C8" s="1600"/>
      <c r="D8" s="1601"/>
      <c r="E8" s="1599" t="s">
        <v>296</v>
      </c>
      <c r="F8" s="1600"/>
      <c r="G8" s="1603"/>
    </row>
    <row r="9" spans="1:7" ht="15" customHeight="1" thickBot="1">
      <c r="A9" s="1590"/>
      <c r="B9" s="1605"/>
      <c r="C9" s="1606"/>
      <c r="D9" s="1592"/>
      <c r="E9" s="1605"/>
      <c r="F9" s="1606"/>
      <c r="G9" s="1594"/>
    </row>
    <row r="10" spans="1:7" ht="110.1" customHeight="1">
      <c r="A10" s="1590"/>
      <c r="B10" s="1607" t="s">
        <v>182</v>
      </c>
      <c r="C10" s="1608" t="s">
        <v>394</v>
      </c>
      <c r="D10" s="1597"/>
      <c r="E10" s="1609" t="s">
        <v>182</v>
      </c>
      <c r="F10" s="1608" t="s">
        <v>395</v>
      </c>
      <c r="G10" s="1594"/>
    </row>
    <row r="11" spans="1:7" ht="24.95" customHeight="1">
      <c r="A11" s="1590"/>
      <c r="B11" s="1610"/>
      <c r="C11" s="1611" t="s">
        <v>18</v>
      </c>
      <c r="D11" s="1597"/>
      <c r="E11" s="1610"/>
      <c r="F11" s="1611" t="s">
        <v>18</v>
      </c>
      <c r="G11" s="1594"/>
    </row>
    <row r="12" spans="1:7" ht="24.95" customHeight="1">
      <c r="A12" s="1590"/>
      <c r="B12" s="1612"/>
      <c r="C12" s="1611" t="s">
        <v>31</v>
      </c>
      <c r="D12" s="1597"/>
      <c r="E12" s="1612"/>
      <c r="F12" s="1611" t="s">
        <v>31</v>
      </c>
      <c r="G12" s="1594"/>
    </row>
    <row r="13" spans="1:7" ht="24.95" customHeight="1" thickBot="1">
      <c r="A13" s="1590"/>
      <c r="B13" s="1613"/>
      <c r="C13" s="1614">
        <v>1</v>
      </c>
      <c r="D13" s="1615"/>
      <c r="E13" s="1613"/>
      <c r="F13" s="1614">
        <v>2</v>
      </c>
      <c r="G13" s="1594"/>
    </row>
    <row r="14" spans="1:7" ht="35.1" customHeight="1">
      <c r="A14" s="1590"/>
      <c r="B14" s="808"/>
      <c r="C14" s="1616"/>
      <c r="D14" s="1597"/>
      <c r="E14" s="808"/>
      <c r="F14" s="1616"/>
      <c r="G14" s="1594"/>
    </row>
    <row r="15" spans="1:7" ht="35.1" customHeight="1">
      <c r="A15" s="1590"/>
      <c r="B15" s="807"/>
      <c r="C15" s="1617"/>
      <c r="D15" s="1597"/>
      <c r="E15" s="807"/>
      <c r="F15" s="1617"/>
      <c r="G15" s="1594"/>
    </row>
    <row r="16" spans="1:7" ht="35.1" customHeight="1">
      <c r="A16" s="1590"/>
      <c r="B16" s="807"/>
      <c r="C16" s="1617"/>
      <c r="D16" s="1597"/>
      <c r="E16" s="807"/>
      <c r="F16" s="1617"/>
      <c r="G16" s="1594"/>
    </row>
    <row r="17" spans="1:7" ht="35.1" customHeight="1">
      <c r="A17" s="1590"/>
      <c r="B17" s="807"/>
      <c r="C17" s="1617"/>
      <c r="D17" s="1597"/>
      <c r="E17" s="807"/>
      <c r="F17" s="1617"/>
      <c r="G17" s="1594"/>
    </row>
    <row r="18" spans="1:7" ht="35.1" customHeight="1">
      <c r="A18" s="1590"/>
      <c r="B18" s="807"/>
      <c r="C18" s="1616"/>
      <c r="D18" s="1597"/>
      <c r="E18" s="807"/>
      <c r="F18" s="1616"/>
      <c r="G18" s="1594"/>
    </row>
    <row r="19" spans="1:7" ht="35.1" customHeight="1">
      <c r="A19" s="1590"/>
      <c r="B19" s="807"/>
      <c r="C19" s="1617"/>
      <c r="D19" s="1597"/>
      <c r="E19" s="807"/>
      <c r="F19" s="1617"/>
      <c r="G19" s="1594"/>
    </row>
    <row r="20" spans="1:7" ht="35.1" customHeight="1">
      <c r="A20" s="1590"/>
      <c r="B20" s="807"/>
      <c r="C20" s="1617"/>
      <c r="D20" s="1597"/>
      <c r="E20" s="807"/>
      <c r="F20" s="1617"/>
      <c r="G20" s="1594"/>
    </row>
    <row r="21" spans="1:7" ht="35.1" customHeight="1">
      <c r="A21" s="1590"/>
      <c r="B21" s="807"/>
      <c r="C21" s="1617"/>
      <c r="D21" s="1597"/>
      <c r="E21" s="807"/>
      <c r="F21" s="1617"/>
      <c r="G21" s="1594"/>
    </row>
    <row r="22" spans="1:7" ht="35.1" customHeight="1">
      <c r="A22" s="1590"/>
      <c r="B22" s="807"/>
      <c r="C22" s="1617"/>
      <c r="D22" s="1597"/>
      <c r="E22" s="807"/>
      <c r="F22" s="1617"/>
      <c r="G22" s="1594"/>
    </row>
    <row r="23" spans="1:7" ht="35.1" customHeight="1">
      <c r="A23" s="1590"/>
      <c r="B23" s="807"/>
      <c r="C23" s="1617"/>
      <c r="D23" s="1597"/>
      <c r="E23" s="807"/>
      <c r="F23" s="1617"/>
      <c r="G23" s="1594"/>
    </row>
    <row r="24" spans="1:7" ht="35.1" customHeight="1">
      <c r="A24" s="1590"/>
      <c r="B24" s="807"/>
      <c r="C24" s="1617"/>
      <c r="D24" s="1597"/>
      <c r="E24" s="807"/>
      <c r="F24" s="1617"/>
      <c r="G24" s="1594"/>
    </row>
    <row r="25" spans="1:7" ht="35.1" customHeight="1">
      <c r="A25" s="1590"/>
      <c r="B25" s="807"/>
      <c r="C25" s="1616"/>
      <c r="D25" s="1597"/>
      <c r="E25" s="807"/>
      <c r="F25" s="1616"/>
      <c r="G25" s="1594"/>
    </row>
    <row r="26" spans="1:7" ht="35.1" customHeight="1">
      <c r="A26" s="1590"/>
      <c r="B26" s="807"/>
      <c r="C26" s="1617"/>
      <c r="D26" s="1597"/>
      <c r="E26" s="807"/>
      <c r="F26" s="1617"/>
      <c r="G26" s="1594"/>
    </row>
    <row r="27" spans="1:7" ht="35.1" customHeight="1">
      <c r="A27" s="1590"/>
      <c r="B27" s="807"/>
      <c r="C27" s="1617"/>
      <c r="D27" s="1597"/>
      <c r="E27" s="807"/>
      <c r="F27" s="1617"/>
      <c r="G27" s="1594"/>
    </row>
    <row r="28" spans="1:7" ht="35.1" customHeight="1">
      <c r="A28" s="1590"/>
      <c r="B28" s="807"/>
      <c r="C28" s="1617"/>
      <c r="D28" s="1597"/>
      <c r="E28" s="807"/>
      <c r="F28" s="1617"/>
      <c r="G28" s="1594"/>
    </row>
    <row r="29" spans="1:7" ht="35.1" customHeight="1" thickBot="1">
      <c r="A29" s="1590"/>
      <c r="B29" s="1618"/>
      <c r="C29" s="1619"/>
      <c r="D29" s="1597"/>
      <c r="E29" s="1618"/>
      <c r="F29" s="1619"/>
      <c r="G29" s="1594"/>
    </row>
    <row r="30" spans="1:7" ht="35.1" customHeight="1" thickBot="1">
      <c r="A30" s="1590"/>
      <c r="B30" s="1620" t="s">
        <v>2</v>
      </c>
      <c r="C30" s="1621">
        <f>SUM(C14:C29)</f>
        <v>0</v>
      </c>
      <c r="D30" s="1622"/>
      <c r="E30" s="1620" t="s">
        <v>2</v>
      </c>
      <c r="F30" s="1621">
        <f>SUM(F14:F29)</f>
        <v>0</v>
      </c>
      <c r="G30" s="1594"/>
    </row>
    <row r="31" spans="1:7" ht="30" customHeight="1">
      <c r="A31" s="1590"/>
      <c r="B31" s="812" t="s">
        <v>396</v>
      </c>
      <c r="C31" s="1635">
        <f>VLOOKUP('Background Data'!$C$2,Inst_FPs,5,FALSE)</f>
        <v>12.5</v>
      </c>
      <c r="D31" s="1622"/>
      <c r="E31" s="1623" t="s">
        <v>397</v>
      </c>
      <c r="F31" s="1636">
        <f>C32</f>
        <v>0</v>
      </c>
      <c r="G31" s="1594"/>
    </row>
    <row r="32" spans="1:7" ht="30" customHeight="1" thickBot="1">
      <c r="A32" s="1590"/>
      <c r="B32" s="1624" t="s">
        <v>398</v>
      </c>
      <c r="C32" s="930">
        <f>IF(C31&gt;0,MIN(C30,C31),"")</f>
        <v>0</v>
      </c>
      <c r="D32" s="1622"/>
      <c r="E32" s="1625" t="s">
        <v>283</v>
      </c>
      <c r="F32" s="1626" t="str">
        <f>IF(F31&gt;0,F30-F31,"")</f>
        <v/>
      </c>
      <c r="G32" s="1594"/>
    </row>
    <row r="33" spans="1:7" ht="15" customHeight="1">
      <c r="A33" s="1590"/>
      <c r="B33" s="1627"/>
      <c r="C33" s="1628"/>
      <c r="D33" s="1622"/>
      <c r="E33" s="1627"/>
      <c r="F33" s="1628"/>
      <c r="G33" s="1594"/>
    </row>
    <row r="34" spans="1:7" ht="20.100000000000001" customHeight="1">
      <c r="A34" s="1590"/>
      <c r="B34" s="1627"/>
      <c r="C34" s="1628"/>
      <c r="D34" s="1622"/>
      <c r="E34" s="1629" t="s">
        <v>399</v>
      </c>
      <c r="F34" s="1628"/>
      <c r="G34" s="1594"/>
    </row>
    <row r="35" spans="1:7" ht="20.100000000000001" customHeight="1">
      <c r="A35" s="1590"/>
      <c r="B35" s="1627"/>
      <c r="C35" s="1628"/>
      <c r="D35" s="1622"/>
      <c r="E35" s="1629" t="s">
        <v>289</v>
      </c>
      <c r="F35" s="1628"/>
      <c r="G35" s="1594"/>
    </row>
    <row r="36" spans="1:7" s="1633" customFormat="1" ht="20.100000000000001" customHeight="1">
      <c r="A36" s="1630"/>
      <c r="B36" s="1631"/>
      <c r="C36" s="1631"/>
      <c r="D36" s="1631"/>
      <c r="E36" s="1631"/>
      <c r="F36" s="1631"/>
      <c r="G36" s="1632"/>
    </row>
    <row r="37" spans="1:7" ht="15.75" customHeight="1"/>
    <row r="38" spans="1:7" ht="15.75" customHeight="1"/>
    <row r="39" spans="1:7" ht="15.75" customHeight="1"/>
    <row r="40" spans="1:7" ht="15.75" customHeight="1">
      <c r="C40" s="1582"/>
      <c r="F40" s="1582"/>
    </row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sheetProtection password="E23E" sheet="1" objects="1" scenarios="1"/>
  <conditionalFormatting sqref="B2">
    <cfRule type="expression" dxfId="31" priority="7" stopIfTrue="1">
      <formula>#REF!=0</formula>
    </cfRule>
  </conditionalFormatting>
  <conditionalFormatting sqref="B9">
    <cfRule type="expression" dxfId="30" priority="6" stopIfTrue="1">
      <formula>#REF!=0</formula>
    </cfRule>
  </conditionalFormatting>
  <conditionalFormatting sqref="B14:C29">
    <cfRule type="expression" dxfId="29" priority="9">
      <formula>$C$4=0</formula>
    </cfRule>
  </conditionalFormatting>
  <conditionalFormatting sqref="E2">
    <cfRule type="expression" dxfId="28" priority="3" stopIfTrue="1">
      <formula>#REF!=0</formula>
    </cfRule>
  </conditionalFormatting>
  <conditionalFormatting sqref="E9">
    <cfRule type="expression" dxfId="27" priority="2" stopIfTrue="1">
      <formula>#REF!=0</formula>
    </cfRule>
  </conditionalFormatting>
  <conditionalFormatting sqref="A1:G1">
    <cfRule type="expression" dxfId="26" priority="4" stopIfTrue="1">
      <formula>$C$4=0</formula>
    </cfRule>
  </conditionalFormatting>
  <conditionalFormatting sqref="E14:F29">
    <cfRule type="expression" dxfId="25" priority="5">
      <formula>$C$4=0</formula>
    </cfRule>
  </conditionalFormatting>
  <dataValidations count="1">
    <dataValidation allowBlank="1" sqref="C41:C65504 B4 F41:F65504 E4 F2 C2:D2 D5:D13 E10:E33 D30:D35 F10:F39 G1:IJ1048576 B10:B65504 D36:E65504 C10:C39"/>
  </dataValidations>
  <pageMargins left="0.19685039370078741" right="0.19685039370078741" top="0.19685039370078741" bottom="0.39370078740157483" header="0" footer="0"/>
  <pageSetup paperSize="9" scale="5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B39" sqref="B39"/>
    </sheetView>
  </sheetViews>
  <sheetFormatPr defaultColWidth="9.140625" defaultRowHeight="15"/>
  <cols>
    <col min="1" max="1" width="2.7109375" style="1547" customWidth="1"/>
    <col min="2" max="2" width="110.7109375" style="1547" customWidth="1"/>
    <col min="3" max="3" width="18.7109375" style="1572" customWidth="1"/>
    <col min="4" max="4" width="10.7109375" style="1547" customWidth="1"/>
    <col min="5" max="16384" width="9.140625" style="1547"/>
  </cols>
  <sheetData>
    <row r="1" spans="1:10" ht="23.25">
      <c r="A1" s="418"/>
      <c r="B1" s="461" t="s">
        <v>389</v>
      </c>
      <c r="C1" s="8"/>
      <c r="D1" s="8"/>
    </row>
    <row r="2" spans="1:10" s="1570" customFormat="1">
      <c r="A2" s="1735"/>
      <c r="B2" s="1692" t="s">
        <v>377</v>
      </c>
      <c r="C2" s="1736"/>
      <c r="D2" s="1737"/>
    </row>
    <row r="3" spans="1:10">
      <c r="A3" s="752"/>
      <c r="B3" s="889" t="s">
        <v>0</v>
      </c>
      <c r="C3" s="414"/>
      <c r="D3" s="1738"/>
    </row>
    <row r="4" spans="1:10">
      <c r="A4" s="752"/>
      <c r="B4" s="806" t="s">
        <v>50</v>
      </c>
      <c r="C4" s="805">
        <v>1</v>
      </c>
      <c r="D4" s="1738"/>
      <c r="J4" s="1545"/>
    </row>
    <row r="5" spans="1:10" s="1553" customFormat="1" ht="18.75" customHeight="1">
      <c r="A5" s="816"/>
      <c r="B5" s="855" t="s">
        <v>378</v>
      </c>
      <c r="C5" s="465"/>
      <c r="D5" s="1673"/>
    </row>
    <row r="6" spans="1:10" s="1553" customFormat="1" ht="21" customHeight="1">
      <c r="A6" s="816"/>
      <c r="B6" s="19" t="s">
        <v>437</v>
      </c>
      <c r="C6" s="465"/>
      <c r="D6" s="1673"/>
    </row>
    <row r="7" spans="1:10" s="1553" customFormat="1" ht="20.25" customHeight="1">
      <c r="A7" s="816"/>
      <c r="B7" s="19" t="s">
        <v>296</v>
      </c>
      <c r="C7" s="465"/>
      <c r="D7" s="1673"/>
    </row>
    <row r="8" spans="1:10" ht="15.75" thickBot="1">
      <c r="A8" s="752"/>
      <c r="B8" s="897"/>
      <c r="C8" s="802"/>
      <c r="D8" s="1739"/>
    </row>
    <row r="9" spans="1:10" ht="90">
      <c r="A9" s="752"/>
      <c r="B9" s="794"/>
      <c r="C9" s="1013" t="s">
        <v>379</v>
      </c>
      <c r="D9" s="1673"/>
    </row>
    <row r="10" spans="1:10">
      <c r="A10" s="752"/>
      <c r="B10" s="1014" t="s">
        <v>181</v>
      </c>
      <c r="C10" s="809" t="s">
        <v>18</v>
      </c>
      <c r="D10" s="1740"/>
    </row>
    <row r="11" spans="1:10">
      <c r="A11" s="752"/>
      <c r="B11" s="796"/>
      <c r="C11" s="809" t="s">
        <v>31</v>
      </c>
      <c r="D11" s="1740"/>
    </row>
    <row r="12" spans="1:10" ht="15.75" thickBot="1">
      <c r="A12" s="752"/>
      <c r="B12" s="797"/>
      <c r="C12" s="1182">
        <v>1</v>
      </c>
      <c r="D12" s="1741"/>
    </row>
    <row r="13" spans="1:10" ht="24" customHeight="1">
      <c r="A13" s="752"/>
      <c r="B13" s="808" t="s">
        <v>446</v>
      </c>
      <c r="C13" s="1747">
        <v>5</v>
      </c>
      <c r="D13" s="1741"/>
    </row>
    <row r="14" spans="1:10" ht="24" customHeight="1">
      <c r="A14" s="752"/>
      <c r="B14" s="807" t="s">
        <v>447</v>
      </c>
      <c r="C14" s="1748">
        <v>5</v>
      </c>
      <c r="D14" s="818"/>
    </row>
    <row r="15" spans="1:10" ht="18" customHeight="1">
      <c r="A15" s="752"/>
      <c r="B15" s="807" t="s">
        <v>448</v>
      </c>
      <c r="C15" s="1748">
        <v>2</v>
      </c>
      <c r="D15" s="818"/>
    </row>
    <row r="16" spans="1:10" ht="20.25" customHeight="1">
      <c r="A16" s="752"/>
      <c r="B16" s="807" t="s">
        <v>449</v>
      </c>
      <c r="C16" s="1748">
        <v>1</v>
      </c>
      <c r="D16" s="818"/>
    </row>
    <row r="17" spans="1:4" ht="18" customHeight="1">
      <c r="A17" s="752"/>
      <c r="B17" s="807" t="s">
        <v>450</v>
      </c>
      <c r="C17" s="1747">
        <v>1</v>
      </c>
      <c r="D17" s="818"/>
    </row>
    <row r="18" spans="1:4" ht="17.25" customHeight="1">
      <c r="A18" s="752"/>
      <c r="B18" s="807" t="s">
        <v>451</v>
      </c>
      <c r="C18" s="1748">
        <v>3</v>
      </c>
      <c r="D18" s="818"/>
    </row>
    <row r="19" spans="1:4" ht="19.5" customHeight="1">
      <c r="A19" s="752"/>
      <c r="B19" s="807" t="s">
        <v>452</v>
      </c>
      <c r="C19" s="1748">
        <v>4</v>
      </c>
      <c r="D19" s="818"/>
    </row>
    <row r="20" spans="1:4" ht="18" customHeight="1">
      <c r="A20" s="752"/>
      <c r="B20" s="807" t="s">
        <v>453</v>
      </c>
      <c r="C20" s="1748">
        <v>10</v>
      </c>
      <c r="D20" s="818"/>
    </row>
    <row r="21" spans="1:4" ht="18" customHeight="1">
      <c r="A21" s="752"/>
      <c r="B21" s="807" t="s">
        <v>454</v>
      </c>
      <c r="C21" s="1748">
        <v>10</v>
      </c>
      <c r="D21" s="818"/>
    </row>
    <row r="22" spans="1:4" ht="17.25" customHeight="1">
      <c r="A22" s="752"/>
      <c r="B22" s="807" t="s">
        <v>455</v>
      </c>
      <c r="C22" s="1748">
        <v>5</v>
      </c>
      <c r="D22" s="818"/>
    </row>
    <row r="23" spans="1:4" ht="17.25" customHeight="1">
      <c r="A23" s="752"/>
      <c r="B23" s="807" t="s">
        <v>456</v>
      </c>
      <c r="C23" s="1748">
        <v>17</v>
      </c>
      <c r="D23" s="818"/>
    </row>
    <row r="24" spans="1:4" ht="18" customHeight="1">
      <c r="A24" s="752"/>
      <c r="B24" s="807" t="s">
        <v>457</v>
      </c>
      <c r="C24" s="1748">
        <v>3</v>
      </c>
      <c r="D24" s="818"/>
    </row>
    <row r="25" spans="1:4" ht="21" customHeight="1">
      <c r="A25" s="752"/>
      <c r="B25" s="807" t="s">
        <v>458</v>
      </c>
      <c r="C25" s="1747">
        <v>3</v>
      </c>
      <c r="D25" s="818"/>
    </row>
    <row r="26" spans="1:4" ht="20.25" customHeight="1">
      <c r="A26" s="752"/>
      <c r="B26" s="807" t="s">
        <v>459</v>
      </c>
      <c r="C26" s="1748">
        <v>15</v>
      </c>
      <c r="D26" s="818"/>
    </row>
    <row r="27" spans="1:4" ht="20.25" customHeight="1">
      <c r="A27" s="752"/>
      <c r="B27" s="807" t="s">
        <v>460</v>
      </c>
      <c r="C27" s="1748">
        <v>4</v>
      </c>
      <c r="D27" s="818"/>
    </row>
    <row r="28" spans="1:4" ht="21.75" customHeight="1">
      <c r="A28" s="752"/>
      <c r="B28" s="807" t="s">
        <v>461</v>
      </c>
      <c r="C28" s="1748">
        <v>5</v>
      </c>
      <c r="D28" s="818"/>
    </row>
    <row r="29" spans="1:4" ht="17.25" customHeight="1">
      <c r="A29" s="752"/>
      <c r="B29" s="1743" t="s">
        <v>462</v>
      </c>
      <c r="C29" s="1742">
        <v>12</v>
      </c>
      <c r="D29" s="818"/>
    </row>
    <row r="30" spans="1:4" ht="19.5" customHeight="1">
      <c r="A30" s="752"/>
      <c r="B30" s="1743" t="s">
        <v>463</v>
      </c>
      <c r="C30" s="1742">
        <v>9</v>
      </c>
      <c r="D30" s="818"/>
    </row>
    <row r="31" spans="1:4" ht="19.5" customHeight="1" thickBot="1">
      <c r="A31" s="752"/>
      <c r="B31" s="1746" t="s">
        <v>464</v>
      </c>
      <c r="C31" s="1742">
        <v>0.7</v>
      </c>
      <c r="D31" s="818"/>
    </row>
    <row r="32" spans="1:4">
      <c r="A32" s="752"/>
      <c r="B32" s="812" t="s">
        <v>2</v>
      </c>
      <c r="C32" s="814">
        <v>114.7</v>
      </c>
      <c r="D32" s="818"/>
    </row>
    <row r="33" spans="1:4">
      <c r="A33" s="752"/>
      <c r="B33" s="799" t="s">
        <v>172</v>
      </c>
      <c r="C33" s="1744">
        <v>124</v>
      </c>
      <c r="D33" s="818"/>
    </row>
    <row r="34" spans="1:4" ht="15.75" thickBot="1">
      <c r="A34" s="752"/>
      <c r="B34" s="811" t="s">
        <v>283</v>
      </c>
      <c r="C34" s="767">
        <v>-9.3000000000000007</v>
      </c>
      <c r="D34" s="818"/>
    </row>
    <row r="35" spans="1:4">
      <c r="A35" s="752"/>
      <c r="B35" s="896" t="s">
        <v>288</v>
      </c>
      <c r="C35" s="769"/>
      <c r="D35" s="818"/>
    </row>
    <row r="36" spans="1:4">
      <c r="A36" s="752"/>
      <c r="B36" s="891" t="s">
        <v>297</v>
      </c>
      <c r="C36" s="769"/>
      <c r="D36" s="818"/>
    </row>
    <row r="37" spans="1:4">
      <c r="A37" s="776"/>
      <c r="B37" s="1693"/>
      <c r="C37" s="1745"/>
      <c r="D37" s="775"/>
    </row>
  </sheetData>
  <conditionalFormatting sqref="B2">
    <cfRule type="expression" dxfId="24" priority="2" stopIfTrue="1">
      <formula>#REF!=0</formula>
    </cfRule>
  </conditionalFormatting>
  <conditionalFormatting sqref="A1:D1">
    <cfRule type="expression" dxfId="23" priority="3" stopIfTrue="1">
      <formula>$C$4=0</formula>
    </cfRule>
  </conditionalFormatting>
  <conditionalFormatting sqref="B8">
    <cfRule type="expression" dxfId="22" priority="1" stopIfTrue="1">
      <formula>#REF!=0</formula>
    </cfRule>
  </conditionalFormatting>
  <conditionalFormatting sqref="B13:C31">
    <cfRule type="expression" dxfId="21" priority="4">
      <formula>$C$4=0</formula>
    </cfRule>
  </conditionalFormatting>
  <dataValidations count="1">
    <dataValidation allowBlank="1" sqref="B37 D5:D8 B38:D65411 C2 B4 D17:D37 B9:B34 C9:C37 E1:IL1048576"/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topLeftCell="A25" zoomScale="80" zoomScaleNormal="80" workbookViewId="0">
      <selection activeCell="F26" sqref="F26"/>
    </sheetView>
  </sheetViews>
  <sheetFormatPr defaultColWidth="9.140625" defaultRowHeight="15"/>
  <cols>
    <col min="1" max="1" width="2.7109375" style="1547" customWidth="1"/>
    <col min="2" max="2" width="39.42578125" style="1547" customWidth="1"/>
    <col min="3" max="3" width="18.7109375" style="1547" customWidth="1"/>
    <col min="4" max="6" width="18.7109375" style="1572" customWidth="1"/>
    <col min="7" max="7" width="5.7109375" style="1547" customWidth="1"/>
    <col min="8" max="16384" width="9.140625" style="1547"/>
  </cols>
  <sheetData>
    <row r="1" spans="1:7" ht="39.950000000000003" customHeight="1">
      <c r="A1" s="841"/>
      <c r="B1" s="461" t="str">
        <f>IF(E4=0,"Your Institution Does Not Complete This Table","")</f>
        <v/>
      </c>
      <c r="C1" s="8"/>
      <c r="D1" s="8"/>
      <c r="E1" s="8"/>
      <c r="F1" s="8"/>
      <c r="G1" s="8"/>
    </row>
    <row r="2" spans="1:7" s="1570" customFormat="1" ht="30" customHeight="1">
      <c r="A2" s="893"/>
      <c r="B2" s="743" t="s">
        <v>381</v>
      </c>
      <c r="C2" s="743"/>
      <c r="D2" s="744"/>
      <c r="E2" s="744"/>
      <c r="F2" s="744"/>
      <c r="G2" s="745"/>
    </row>
    <row r="3" spans="1:7" s="1570" customFormat="1" ht="15" customHeight="1">
      <c r="A3" s="898"/>
      <c r="B3" s="855"/>
      <c r="C3" s="746"/>
      <c r="D3" s="231"/>
      <c r="E3" s="231"/>
      <c r="F3" s="231"/>
      <c r="G3" s="747"/>
    </row>
    <row r="4" spans="1:7" ht="35.1" customHeight="1">
      <c r="A4" s="899"/>
      <c r="B4" s="889" t="s">
        <v>0</v>
      </c>
      <c r="C4" s="1905" t="str">
        <f>VLOOKUP('Background Data'!$C$2,Inst_Tables,2,FALSE)</f>
        <v>Glasgow, University of</v>
      </c>
      <c r="D4" s="1906"/>
      <c r="E4" s="148">
        <f>VLOOKUP('Background Data'!$C$2,Inst_Tables,14,FALSE)</f>
        <v>1</v>
      </c>
      <c r="F4" s="418"/>
      <c r="G4" s="818"/>
    </row>
    <row r="5" spans="1:7" s="1553" customFormat="1" ht="35.1" customHeight="1">
      <c r="A5" s="900"/>
      <c r="B5" s="855" t="s">
        <v>384</v>
      </c>
      <c r="C5" s="465"/>
      <c r="D5" s="465"/>
      <c r="E5" s="465"/>
      <c r="F5" s="465"/>
      <c r="G5" s="748"/>
    </row>
    <row r="6" spans="1:7" s="1553" customFormat="1" ht="30" customHeight="1">
      <c r="A6" s="900"/>
      <c r="B6" s="19" t="s">
        <v>438</v>
      </c>
      <c r="C6" s="465"/>
      <c r="D6" s="465"/>
      <c r="E6" s="465"/>
      <c r="F6" s="465"/>
      <c r="G6" s="748"/>
    </row>
    <row r="7" spans="1:7" s="1553" customFormat="1" ht="24.95" customHeight="1">
      <c r="A7" s="900"/>
      <c r="B7" s="19" t="s">
        <v>410</v>
      </c>
      <c r="C7" s="465"/>
      <c r="D7" s="465"/>
      <c r="E7" s="465"/>
      <c r="F7" s="465"/>
      <c r="G7" s="748"/>
    </row>
    <row r="8" spans="1:7" s="1553" customFormat="1" ht="30" customHeight="1">
      <c r="A8" s="900"/>
      <c r="B8" s="890" t="s">
        <v>380</v>
      </c>
      <c r="C8" s="465"/>
      <c r="D8" s="465"/>
      <c r="E8" s="465"/>
      <c r="F8" s="465"/>
      <c r="G8" s="748"/>
    </row>
    <row r="9" spans="1:7" s="1553" customFormat="1" ht="15" customHeight="1" thickBot="1">
      <c r="A9" s="900"/>
      <c r="B9" s="469"/>
      <c r="C9" s="465"/>
      <c r="D9" s="465"/>
      <c r="E9" s="749"/>
      <c r="F9" s="148"/>
      <c r="G9" s="748"/>
    </row>
    <row r="10" spans="1:7" ht="84.95" customHeight="1">
      <c r="A10" s="899"/>
      <c r="B10" s="794"/>
      <c r="C10" s="499" t="s">
        <v>180</v>
      </c>
      <c r="D10" s="499" t="s">
        <v>383</v>
      </c>
      <c r="E10" s="471" t="s">
        <v>283</v>
      </c>
      <c r="F10" s="801"/>
      <c r="G10" s="149"/>
    </row>
    <row r="11" spans="1:7" ht="24.95" customHeight="1">
      <c r="A11" s="899"/>
      <c r="B11" s="795" t="s">
        <v>179</v>
      </c>
      <c r="C11" s="995" t="s">
        <v>18</v>
      </c>
      <c r="D11" s="473" t="s">
        <v>18</v>
      </c>
      <c r="E11" s="474" t="s">
        <v>18</v>
      </c>
      <c r="F11" s="789"/>
      <c r="G11" s="149"/>
    </row>
    <row r="12" spans="1:7" ht="24.95" customHeight="1">
      <c r="A12" s="899"/>
      <c r="B12" s="796"/>
      <c r="C12" s="995" t="s">
        <v>57</v>
      </c>
      <c r="D12" s="995" t="s">
        <v>31</v>
      </c>
      <c r="E12" s="474" t="s">
        <v>56</v>
      </c>
      <c r="F12" s="789"/>
      <c r="G12" s="149"/>
    </row>
    <row r="13" spans="1:7" ht="24.95" customHeight="1" thickBot="1">
      <c r="A13" s="899"/>
      <c r="B13" s="797"/>
      <c r="C13" s="1179">
        <v>1</v>
      </c>
      <c r="D13" s="1179">
        <v>2</v>
      </c>
      <c r="E13" s="1180">
        <v>3</v>
      </c>
      <c r="F13" s="1018"/>
      <c r="G13" s="149"/>
    </row>
    <row r="14" spans="1:7" ht="35.1" customHeight="1" thickBot="1">
      <c r="A14" s="899"/>
      <c r="B14" s="1525" t="s">
        <v>387</v>
      </c>
      <c r="C14" s="1526">
        <f>VLOOKUP('Background Data'!$C$2,Inst_FPs,8,FALSE)</f>
        <v>0</v>
      </c>
      <c r="D14" s="1527">
        <v>0</v>
      </c>
      <c r="E14" s="1528" t="str">
        <f>IF(C14&gt;0,D14-C14,"")</f>
        <v/>
      </c>
      <c r="F14" s="751"/>
      <c r="G14" s="149"/>
    </row>
    <row r="15" spans="1:7" ht="30" customHeight="1">
      <c r="A15" s="899"/>
      <c r="B15" s="891" t="s">
        <v>287</v>
      </c>
      <c r="C15" s="750"/>
      <c r="D15" s="750"/>
      <c r="E15" s="751"/>
      <c r="F15" s="751"/>
      <c r="G15" s="149"/>
    </row>
    <row r="16" spans="1:7" ht="20.100000000000001" customHeight="1">
      <c r="A16" s="752"/>
      <c r="B16" s="1688" t="s">
        <v>411</v>
      </c>
      <c r="C16" s="750"/>
      <c r="D16" s="750"/>
      <c r="E16" s="751"/>
      <c r="F16" s="751"/>
      <c r="G16" s="1017"/>
    </row>
    <row r="17" spans="1:7" ht="30" customHeight="1">
      <c r="A17" s="899"/>
      <c r="B17" s="890" t="s">
        <v>414</v>
      </c>
      <c r="C17" s="753"/>
      <c r="D17" s="753"/>
      <c r="E17" s="753"/>
      <c r="F17" s="753"/>
      <c r="G17" s="754"/>
    </row>
    <row r="18" spans="1:7" ht="15" customHeight="1" thickBot="1">
      <c r="A18" s="899"/>
      <c r="B18" s="901"/>
      <c r="C18" s="465"/>
      <c r="D18" s="465"/>
      <c r="E18" s="749"/>
      <c r="F18" s="148" t="s">
        <v>382</v>
      </c>
      <c r="G18" s="754"/>
    </row>
    <row r="19" spans="1:7" ht="84.95" customHeight="1">
      <c r="A19" s="899"/>
      <c r="B19" s="755"/>
      <c r="C19" s="756"/>
      <c r="D19" s="756"/>
      <c r="E19" s="1019"/>
      <c r="F19" s="1015" t="s">
        <v>383</v>
      </c>
      <c r="G19" s="748"/>
    </row>
    <row r="20" spans="1:7" ht="24.95" customHeight="1">
      <c r="A20" s="899"/>
      <c r="B20" s="1016" t="s">
        <v>181</v>
      </c>
      <c r="C20" s="753"/>
      <c r="D20" s="753"/>
      <c r="E20" s="818"/>
      <c r="F20" s="474" t="s">
        <v>18</v>
      </c>
      <c r="G20" s="772"/>
    </row>
    <row r="21" spans="1:7" ht="24.95" customHeight="1">
      <c r="A21" s="899"/>
      <c r="B21" s="758"/>
      <c r="C21" s="753"/>
      <c r="D21" s="753"/>
      <c r="E21" s="818"/>
      <c r="F21" s="474" t="s">
        <v>31</v>
      </c>
      <c r="G21" s="757"/>
    </row>
    <row r="22" spans="1:7" ht="24.95" customHeight="1">
      <c r="A22" s="899"/>
      <c r="B22" s="1020"/>
      <c r="C22" s="1021"/>
      <c r="D22" s="1021"/>
      <c r="E22" s="818"/>
      <c r="F22" s="1159">
        <v>1</v>
      </c>
      <c r="G22" s="552"/>
    </row>
    <row r="23" spans="1:7" ht="35.1" customHeight="1">
      <c r="A23" s="899"/>
      <c r="B23" s="1907" t="s">
        <v>468</v>
      </c>
      <c r="C23" s="1908"/>
      <c r="D23" s="1908"/>
      <c r="E23" s="1909"/>
      <c r="F23" s="759">
        <v>8</v>
      </c>
      <c r="G23" s="552"/>
    </row>
    <row r="24" spans="1:7" ht="35.1" customHeight="1">
      <c r="A24" s="899"/>
      <c r="B24" s="1907" t="s">
        <v>469</v>
      </c>
      <c r="C24" s="1908"/>
      <c r="D24" s="1908"/>
      <c r="E24" s="1909"/>
      <c r="F24" s="760">
        <v>4</v>
      </c>
      <c r="G24" s="761"/>
    </row>
    <row r="25" spans="1:7" ht="35.1" customHeight="1">
      <c r="A25" s="899"/>
      <c r="B25" s="1907" t="s">
        <v>470</v>
      </c>
      <c r="C25" s="1908"/>
      <c r="D25" s="1908"/>
      <c r="E25" s="1909"/>
      <c r="F25" s="760">
        <v>3</v>
      </c>
      <c r="G25" s="761"/>
    </row>
    <row r="26" spans="1:7" ht="35.1" customHeight="1">
      <c r="A26" s="899"/>
      <c r="B26" s="1907"/>
      <c r="C26" s="1908"/>
      <c r="D26" s="1908"/>
      <c r="E26" s="1909"/>
      <c r="F26" s="760"/>
      <c r="G26" s="761"/>
    </row>
    <row r="27" spans="1:7" ht="35.1" customHeight="1" thickBot="1">
      <c r="A27" s="899"/>
      <c r="B27" s="1902"/>
      <c r="C27" s="1903"/>
      <c r="D27" s="1903"/>
      <c r="E27" s="1904"/>
      <c r="F27" s="762"/>
      <c r="G27" s="761"/>
    </row>
    <row r="28" spans="1:7" ht="35.1" customHeight="1">
      <c r="A28" s="899"/>
      <c r="B28" s="1022" t="s">
        <v>2</v>
      </c>
      <c r="C28" s="5"/>
      <c r="D28" s="5"/>
      <c r="E28" s="1023"/>
      <c r="F28" s="814">
        <f>SUM(F23:F27)</f>
        <v>15</v>
      </c>
      <c r="G28" s="761"/>
    </row>
    <row r="29" spans="1:7" ht="35.1" customHeight="1">
      <c r="A29" s="899"/>
      <c r="B29" s="763" t="s">
        <v>172</v>
      </c>
      <c r="C29" s="764"/>
      <c r="D29" s="791"/>
      <c r="E29" s="793"/>
      <c r="F29" s="810">
        <f>VLOOKUP('Background Data'!$C$2,Inst_FPs,6,FALSE)</f>
        <v>15</v>
      </c>
      <c r="G29" s="761"/>
    </row>
    <row r="30" spans="1:7" ht="35.1" customHeight="1" thickBot="1">
      <c r="A30" s="899"/>
      <c r="B30" s="765" t="s">
        <v>283</v>
      </c>
      <c r="C30" s="766"/>
      <c r="D30" s="790"/>
      <c r="E30" s="1024"/>
      <c r="F30" s="767">
        <f>IF(F29&gt;0,F28-F29,"")</f>
        <v>0</v>
      </c>
      <c r="G30" s="761"/>
    </row>
    <row r="31" spans="1:7" ht="30" customHeight="1">
      <c r="A31" s="899"/>
      <c r="B31" s="891" t="s">
        <v>412</v>
      </c>
      <c r="C31" s="750"/>
      <c r="D31" s="750"/>
      <c r="E31" s="769"/>
      <c r="F31" s="769"/>
      <c r="G31" s="761"/>
    </row>
    <row r="32" spans="1:7" ht="20.100000000000001" customHeight="1">
      <c r="A32" s="752"/>
      <c r="B32" s="1688" t="s">
        <v>413</v>
      </c>
      <c r="C32" s="750"/>
      <c r="D32" s="750"/>
      <c r="E32" s="769"/>
      <c r="F32" s="769"/>
      <c r="G32" s="818"/>
    </row>
    <row r="33" spans="1:7" ht="15" customHeight="1">
      <c r="A33" s="776"/>
      <c r="B33" s="892"/>
      <c r="C33" s="773"/>
      <c r="D33" s="774"/>
      <c r="E33" s="774"/>
      <c r="F33" s="774"/>
      <c r="G33" s="775"/>
    </row>
    <row r="34" spans="1:7" s="1571" customFormat="1" ht="15.75" customHeight="1"/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 password="E23E" sheet="1" objects="1" scenarios="1"/>
  <mergeCells count="6">
    <mergeCell ref="B27:E27"/>
    <mergeCell ref="C4:D4"/>
    <mergeCell ref="B23:E23"/>
    <mergeCell ref="B24:E24"/>
    <mergeCell ref="B25:E25"/>
    <mergeCell ref="B26:E26"/>
  </mergeCells>
  <conditionalFormatting sqref="D14">
    <cfRule type="expression" dxfId="20" priority="14" stopIfTrue="1">
      <formula>C14&gt;0</formula>
    </cfRule>
  </conditionalFormatting>
  <conditionalFormatting sqref="B2">
    <cfRule type="expression" dxfId="19" priority="13" stopIfTrue="1">
      <formula>#REF!=0</formula>
    </cfRule>
  </conditionalFormatting>
  <conditionalFormatting sqref="D28">
    <cfRule type="expression" dxfId="18" priority="12" stopIfTrue="1">
      <formula>C28&gt;0</formula>
    </cfRule>
  </conditionalFormatting>
  <conditionalFormatting sqref="B18">
    <cfRule type="expression" dxfId="17" priority="4" stopIfTrue="1">
      <formula>#REF!=0</formula>
    </cfRule>
  </conditionalFormatting>
  <conditionalFormatting sqref="A1:G1">
    <cfRule type="expression" dxfId="16" priority="112" stopIfTrue="1">
      <formula>$E$4=0</formula>
    </cfRule>
  </conditionalFormatting>
  <conditionalFormatting sqref="B23:B27 F23:F27">
    <cfRule type="expression" dxfId="15" priority="117">
      <formula>$F$29=0</formula>
    </cfRule>
  </conditionalFormatting>
  <dataValidations count="2">
    <dataValidation allowBlank="1" sqref="D2:F3 C2:C4 C10:F13 C28 C19:D22 C17:F17 B34:B65500 B10:B14 E31:F65500 E14:F16 C14:C16 G5:G18 C29:D30 C33:D65500 C31:C32 F19:F30 H1:IQ1048576 G27:G65500 B19:B30"/>
    <dataValidation type="custom" allowBlank="1" showErrorMessage="1" errorTitle="No HFU funded places" error="You cannot enter HFU funded student FTE where no HFU funded places exist " sqref="D28 D14:D16 D31:D32">
      <formula1>AND($C14&gt;0,$D14&gt;=0)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2" orientation="portrait" r:id="rId1"/>
  <headerFooter alignWithMargins="0"/>
  <rowBreaks count="1" manualBreakCount="1">
    <brk id="16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5" zoomScale="80" zoomScaleNormal="80" workbookViewId="0"/>
  </sheetViews>
  <sheetFormatPr defaultColWidth="9.140625" defaultRowHeight="15"/>
  <cols>
    <col min="1" max="1" width="2.7109375" style="1547" customWidth="1"/>
    <col min="2" max="2" width="72.42578125" style="1547" customWidth="1"/>
    <col min="3" max="5" width="18.7109375" style="1572" customWidth="1"/>
    <col min="6" max="6" width="5.7109375" style="1547" customWidth="1"/>
    <col min="7" max="16384" width="9.140625" style="1547"/>
  </cols>
  <sheetData>
    <row r="1" spans="1:6" ht="39.950000000000003" customHeight="1">
      <c r="A1" s="841"/>
      <c r="B1" s="461" t="str">
        <f>IF(F4=0,"Your Institution Does Not Complete This Table","")</f>
        <v>Your Institution Does Not Complete This Table</v>
      </c>
      <c r="C1" s="8"/>
      <c r="D1" s="8"/>
      <c r="E1" s="8"/>
      <c r="F1" s="8"/>
    </row>
    <row r="2" spans="1:6" s="1570" customFormat="1" ht="30" customHeight="1">
      <c r="A2" s="893"/>
      <c r="B2" s="743" t="s">
        <v>404</v>
      </c>
      <c r="C2" s="744"/>
      <c r="D2" s="744"/>
      <c r="E2" s="744"/>
      <c r="F2" s="745"/>
    </row>
    <row r="3" spans="1:6" s="1570" customFormat="1" ht="15" customHeight="1">
      <c r="A3" s="898"/>
      <c r="B3" s="855"/>
      <c r="C3" s="231"/>
      <c r="D3" s="231"/>
      <c r="E3" s="231"/>
      <c r="F3" s="747"/>
    </row>
    <row r="4" spans="1:6" ht="35.1" customHeight="1">
      <c r="A4" s="899"/>
      <c r="B4" s="889" t="s">
        <v>0</v>
      </c>
      <c r="C4" s="1905" t="str">
        <f>VLOOKUP('Background Data'!$C$2,Inst_Tables,2,FALSE)</f>
        <v>Glasgow, University of</v>
      </c>
      <c r="D4" s="1913"/>
      <c r="E4" s="1906"/>
      <c r="F4" s="988">
        <f>VLOOKUP('Background Data'!$C$2,Inst_Tables,15,FALSE)</f>
        <v>0</v>
      </c>
    </row>
    <row r="5" spans="1:6" s="1553" customFormat="1" ht="35.1" customHeight="1">
      <c r="A5" s="900"/>
      <c r="B5" s="855" t="s">
        <v>417</v>
      </c>
      <c r="C5" s="465"/>
      <c r="D5" s="465"/>
      <c r="E5" s="465"/>
      <c r="F5" s="748"/>
    </row>
    <row r="6" spans="1:6" s="1553" customFormat="1" ht="30" customHeight="1">
      <c r="A6" s="900"/>
      <c r="B6" s="19" t="s">
        <v>439</v>
      </c>
      <c r="C6" s="465"/>
      <c r="D6" s="465"/>
      <c r="E6" s="465"/>
      <c r="F6" s="748"/>
    </row>
    <row r="7" spans="1:6" s="1553" customFormat="1" ht="24.95" customHeight="1">
      <c r="A7" s="900"/>
      <c r="B7" s="19" t="s">
        <v>405</v>
      </c>
      <c r="C7" s="465"/>
      <c r="D7" s="465"/>
      <c r="E7" s="465"/>
      <c r="F7" s="748"/>
    </row>
    <row r="8" spans="1:6" ht="15" customHeight="1" thickBot="1">
      <c r="A8" s="899"/>
      <c r="B8" s="901"/>
      <c r="C8" s="148"/>
      <c r="D8" s="148"/>
      <c r="E8" s="148"/>
      <c r="F8" s="754"/>
    </row>
    <row r="9" spans="1:6" ht="30" customHeight="1">
      <c r="A9" s="899"/>
      <c r="B9" s="755"/>
      <c r="C9" s="1910" t="s">
        <v>217</v>
      </c>
      <c r="D9" s="1911"/>
      <c r="E9" s="1912"/>
      <c r="F9" s="748"/>
    </row>
    <row r="10" spans="1:6" ht="39.950000000000003" customHeight="1">
      <c r="A10" s="899"/>
      <c r="B10" s="1672"/>
      <c r="C10" s="1689" t="s">
        <v>406</v>
      </c>
      <c r="D10" s="1690" t="s">
        <v>407</v>
      </c>
      <c r="E10" s="1691" t="s">
        <v>403</v>
      </c>
      <c r="F10" s="1673"/>
    </row>
    <row r="11" spans="1:6" ht="24.95" customHeight="1">
      <c r="A11" s="899"/>
      <c r="B11" s="1016" t="s">
        <v>181</v>
      </c>
      <c r="C11" s="1036" t="s">
        <v>18</v>
      </c>
      <c r="D11" s="473" t="s">
        <v>18</v>
      </c>
      <c r="E11" s="809" t="s">
        <v>18</v>
      </c>
      <c r="F11" s="772"/>
    </row>
    <row r="12" spans="1:6" ht="24.95" customHeight="1">
      <c r="A12" s="899"/>
      <c r="B12" s="758"/>
      <c r="C12" s="1036" t="s">
        <v>31</v>
      </c>
      <c r="D12" s="473" t="s">
        <v>31</v>
      </c>
      <c r="E12" s="809" t="s">
        <v>31</v>
      </c>
      <c r="F12" s="757"/>
    </row>
    <row r="13" spans="1:6" ht="24.95" customHeight="1">
      <c r="A13" s="899"/>
      <c r="B13" s="1020"/>
      <c r="C13" s="1658">
        <v>1</v>
      </c>
      <c r="D13" s="1158">
        <v>2</v>
      </c>
      <c r="E13" s="1665">
        <v>3</v>
      </c>
      <c r="F13" s="552"/>
    </row>
    <row r="14" spans="1:6" ht="35.1" customHeight="1">
      <c r="A14" s="899"/>
      <c r="B14" s="1637"/>
      <c r="C14" s="1659"/>
      <c r="D14" s="1666"/>
      <c r="E14" s="1682"/>
      <c r="F14" s="552"/>
    </row>
    <row r="15" spans="1:6" ht="35.1" customHeight="1">
      <c r="A15" s="899"/>
      <c r="B15" s="1637"/>
      <c r="C15" s="1660"/>
      <c r="D15" s="1667"/>
      <c r="E15" s="1683"/>
      <c r="F15" s="761"/>
    </row>
    <row r="16" spans="1:6" ht="35.1" customHeight="1">
      <c r="A16" s="899"/>
      <c r="B16" s="1637"/>
      <c r="C16" s="1660"/>
      <c r="D16" s="1667"/>
      <c r="E16" s="1683"/>
      <c r="F16" s="761"/>
    </row>
    <row r="17" spans="1:6" ht="35.1" customHeight="1">
      <c r="A17" s="899"/>
      <c r="B17" s="1637"/>
      <c r="C17" s="1660"/>
      <c r="D17" s="1667"/>
      <c r="E17" s="1683"/>
      <c r="F17" s="761"/>
    </row>
    <row r="18" spans="1:6" ht="35.1" customHeight="1">
      <c r="A18" s="899"/>
      <c r="B18" s="1637"/>
      <c r="C18" s="1661"/>
      <c r="D18" s="1668"/>
      <c r="E18" s="1684"/>
      <c r="F18" s="761"/>
    </row>
    <row r="19" spans="1:6" ht="35.1" customHeight="1">
      <c r="A19" s="899"/>
      <c r="B19" s="1637"/>
      <c r="C19" s="1660"/>
      <c r="D19" s="1667"/>
      <c r="E19" s="1683"/>
      <c r="F19" s="761"/>
    </row>
    <row r="20" spans="1:6" ht="35.1" customHeight="1">
      <c r="A20" s="899"/>
      <c r="B20" s="1637"/>
      <c r="C20" s="1660"/>
      <c r="D20" s="1667"/>
      <c r="E20" s="1683"/>
      <c r="F20" s="761"/>
    </row>
    <row r="21" spans="1:6" ht="35.1" customHeight="1">
      <c r="A21" s="899"/>
      <c r="B21" s="1637"/>
      <c r="C21" s="1660"/>
      <c r="D21" s="1667"/>
      <c r="E21" s="1683"/>
      <c r="F21" s="761"/>
    </row>
    <row r="22" spans="1:6" ht="35.1" customHeight="1">
      <c r="A22" s="899"/>
      <c r="B22" s="1637"/>
      <c r="C22" s="1660"/>
      <c r="D22" s="1667"/>
      <c r="E22" s="1683"/>
      <c r="F22" s="761"/>
    </row>
    <row r="23" spans="1:6" ht="35.1" customHeight="1">
      <c r="A23" s="899"/>
      <c r="B23" s="1637"/>
      <c r="C23" s="1660"/>
      <c r="D23" s="1667"/>
      <c r="E23" s="1683"/>
      <c r="F23" s="761"/>
    </row>
    <row r="24" spans="1:6" ht="35.1" customHeight="1">
      <c r="A24" s="899"/>
      <c r="B24" s="1637"/>
      <c r="C24" s="1661"/>
      <c r="D24" s="1668"/>
      <c r="E24" s="1684"/>
      <c r="F24" s="761"/>
    </row>
    <row r="25" spans="1:6" ht="35.1" customHeight="1">
      <c r="A25" s="899"/>
      <c r="B25" s="1637"/>
      <c r="C25" s="1660"/>
      <c r="D25" s="1667"/>
      <c r="E25" s="1683"/>
      <c r="F25" s="761"/>
    </row>
    <row r="26" spans="1:6" ht="35.1" customHeight="1">
      <c r="A26" s="899"/>
      <c r="B26" s="1637"/>
      <c r="C26" s="1660"/>
      <c r="D26" s="1667"/>
      <c r="E26" s="1683"/>
      <c r="F26" s="761"/>
    </row>
    <row r="27" spans="1:6" ht="35.1" customHeight="1">
      <c r="A27" s="899"/>
      <c r="B27" s="1637"/>
      <c r="C27" s="1660"/>
      <c r="D27" s="1667"/>
      <c r="E27" s="1683"/>
      <c r="F27" s="761"/>
    </row>
    <row r="28" spans="1:6" ht="35.1" customHeight="1" thickBot="1">
      <c r="A28" s="899"/>
      <c r="B28" s="1638"/>
      <c r="C28" s="1661"/>
      <c r="D28" s="1668"/>
      <c r="E28" s="1684"/>
      <c r="F28" s="761"/>
    </row>
    <row r="29" spans="1:6" ht="35.1" customHeight="1">
      <c r="A29" s="899"/>
      <c r="B29" s="1679" t="s">
        <v>2</v>
      </c>
      <c r="C29" s="1662">
        <f>SUM(C14:C28)</f>
        <v>0</v>
      </c>
      <c r="D29" s="1669">
        <f t="shared" ref="D29:E29" si="0">SUM(D14:D28)</f>
        <v>0</v>
      </c>
      <c r="E29" s="1685">
        <f t="shared" si="0"/>
        <v>0</v>
      </c>
      <c r="F29" s="761"/>
    </row>
    <row r="30" spans="1:6" ht="35.1" customHeight="1">
      <c r="A30" s="899"/>
      <c r="B30" s="1680" t="s">
        <v>409</v>
      </c>
      <c r="C30" s="1663">
        <f>VLOOKUP('Background Data'!$C$2,Inst_FPs,9,FALSE)</f>
        <v>0</v>
      </c>
      <c r="D30" s="1670">
        <f>VLOOKUP('Background Data'!$C$2,Inst_FPs,10,FALSE)</f>
        <v>0</v>
      </c>
      <c r="E30" s="1686">
        <f>VLOOKUP('Background Data'!$C$2,Inst_FPs,11,FALSE)</f>
        <v>0</v>
      </c>
      <c r="F30" s="761"/>
    </row>
    <row r="31" spans="1:6" ht="35.1" customHeight="1" thickBot="1">
      <c r="A31" s="899"/>
      <c r="B31" s="1681" t="s">
        <v>283</v>
      </c>
      <c r="C31" s="1664" t="str">
        <f>IF(C30&gt;0,C29-C30,"")</f>
        <v/>
      </c>
      <c r="D31" s="1671" t="str">
        <f t="shared" ref="D31:E31" si="1">IF(D30&gt;0,D29-D30,"")</f>
        <v/>
      </c>
      <c r="E31" s="1687" t="str">
        <f t="shared" si="1"/>
        <v/>
      </c>
      <c r="F31" s="761"/>
    </row>
    <row r="32" spans="1:6" ht="15" customHeight="1">
      <c r="A32" s="776"/>
      <c r="B32" s="892"/>
      <c r="C32" s="774"/>
      <c r="D32" s="774"/>
      <c r="E32" s="774"/>
      <c r="F32" s="775"/>
    </row>
    <row r="33" s="1571" customFormat="1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</sheetData>
  <sheetProtection password="E23E" sheet="1" objects="1" scenarios="1"/>
  <mergeCells count="2">
    <mergeCell ref="C9:E9"/>
    <mergeCell ref="C4:E4"/>
  </mergeCells>
  <conditionalFormatting sqref="B2">
    <cfRule type="expression" dxfId="14" priority="6" stopIfTrue="1">
      <formula>#REF!=0</formula>
    </cfRule>
  </conditionalFormatting>
  <conditionalFormatting sqref="B8">
    <cfRule type="expression" dxfId="13" priority="4" stopIfTrue="1">
      <formula>#REF!=0</formula>
    </cfRule>
  </conditionalFormatting>
  <conditionalFormatting sqref="B14:C28">
    <cfRule type="expression" dxfId="12" priority="8">
      <formula>$C$30=0</formula>
    </cfRule>
  </conditionalFormatting>
  <conditionalFormatting sqref="B14:B28 D14:D28">
    <cfRule type="expression" dxfId="11" priority="2">
      <formula>$D$30=0</formula>
    </cfRule>
  </conditionalFormatting>
  <conditionalFormatting sqref="A1:F1">
    <cfRule type="expression" dxfId="10" priority="116" stopIfTrue="1">
      <formula>$E$4=0</formula>
    </cfRule>
  </conditionalFormatting>
  <conditionalFormatting sqref="B14:B28 E14:E28">
    <cfRule type="expression" dxfId="9" priority="1">
      <formula>$E$30=0</formula>
    </cfRule>
  </conditionalFormatting>
  <dataValidations count="1">
    <dataValidation allowBlank="1" sqref="B33:B65499 F5:F8 B9:C31 D11:E31 C4 C2:E3 C32:E65499 G1:IP1048576 F18:F65499"/>
  </dataValidations>
  <printOptions horizontalCentered="1"/>
  <pageMargins left="0.19685039370078741" right="0.19685039370078741" top="0.19685039370078741" bottom="0.19685039370078741" header="0" footer="0"/>
  <pageSetup paperSize="9" scale="70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80" zoomScaleNormal="80" workbookViewId="0">
      <selection activeCell="E7" sqref="E7"/>
    </sheetView>
  </sheetViews>
  <sheetFormatPr defaultColWidth="9.140625" defaultRowHeight="15"/>
  <cols>
    <col min="1" max="1" width="2.7109375" style="1547" customWidth="1"/>
    <col min="2" max="2" width="85.7109375" style="1547" customWidth="1"/>
    <col min="3" max="3" width="16.5703125" style="1547" customWidth="1"/>
    <col min="4" max="4" width="12.140625" style="1547" customWidth="1"/>
    <col min="5" max="5" width="10.7109375" style="1572" customWidth="1"/>
    <col min="6" max="6" width="5.7109375" style="1547" customWidth="1"/>
    <col min="7" max="16384" width="9.140625" style="1547"/>
  </cols>
  <sheetData>
    <row r="1" spans="1:6" s="1570" customFormat="1" ht="30" customHeight="1">
      <c r="A1" s="893"/>
      <c r="B1" s="743" t="s">
        <v>415</v>
      </c>
      <c r="C1" s="1692"/>
      <c r="D1" s="1692"/>
      <c r="E1" s="744"/>
      <c r="F1" s="745"/>
    </row>
    <row r="2" spans="1:6" ht="35.1" customHeight="1">
      <c r="A2" s="752"/>
      <c r="B2" s="889" t="s">
        <v>0</v>
      </c>
      <c r="C2" s="889"/>
      <c r="D2" s="889"/>
      <c r="E2" s="414"/>
      <c r="F2" s="804"/>
    </row>
    <row r="3" spans="1:6" ht="30" customHeight="1">
      <c r="A3" s="752"/>
      <c r="B3" s="806" t="str">
        <f>VLOOKUP('Background Data'!$C$2,Inst_Tables,2,FALSE)</f>
        <v>Glasgow, University of</v>
      </c>
      <c r="C3" s="855"/>
      <c r="D3" s="855"/>
      <c r="E3" s="805"/>
      <c r="F3" s="804"/>
    </row>
    <row r="4" spans="1:6" s="1553" customFormat="1" ht="30" customHeight="1">
      <c r="A4" s="816"/>
      <c r="B4" s="855" t="s">
        <v>418</v>
      </c>
      <c r="C4" s="855"/>
      <c r="D4" s="855"/>
      <c r="E4" s="465"/>
      <c r="F4" s="748"/>
    </row>
    <row r="5" spans="1:6" s="1553" customFormat="1" ht="30" customHeight="1">
      <c r="A5" s="816"/>
      <c r="B5" s="19" t="s">
        <v>440</v>
      </c>
      <c r="C5" s="19"/>
      <c r="D5" s="19"/>
      <c r="E5" s="465"/>
      <c r="F5" s="748"/>
    </row>
    <row r="6" spans="1:6" ht="15" customHeight="1" thickBot="1">
      <c r="A6" s="752"/>
      <c r="B6" s="897"/>
      <c r="C6" s="897"/>
      <c r="D6" s="897"/>
      <c r="E6" s="802"/>
      <c r="F6" s="768"/>
    </row>
    <row r="7" spans="1:6" ht="35.1" customHeight="1" thickBot="1">
      <c r="A7" s="752"/>
      <c r="B7" s="1694" t="s">
        <v>418</v>
      </c>
      <c r="C7" s="1695" t="s">
        <v>27</v>
      </c>
      <c r="D7" s="1695" t="s">
        <v>31</v>
      </c>
      <c r="E7" s="1702">
        <v>18</v>
      </c>
      <c r="F7" s="552"/>
    </row>
    <row r="8" spans="1:6" ht="20.100000000000001" customHeight="1">
      <c r="A8" s="776"/>
      <c r="B8" s="773"/>
      <c r="C8" s="1693"/>
      <c r="D8" s="1693"/>
      <c r="E8" s="774"/>
      <c r="F8" s="775"/>
    </row>
  </sheetData>
  <sheetProtection password="E23E" sheet="1" objects="1" scenarios="1"/>
  <conditionalFormatting sqref="B1:D1">
    <cfRule type="expression" dxfId="8" priority="2" stopIfTrue="1">
      <formula>#REF!=0</formula>
    </cfRule>
  </conditionalFormatting>
  <conditionalFormatting sqref="B6:D6">
    <cfRule type="expression" dxfId="7" priority="1" stopIfTrue="1">
      <formula>#REF!=0</formula>
    </cfRule>
  </conditionalFormatting>
  <dataValidations count="1">
    <dataValidation allowBlank="1" sqref="B9:F65382 E1 F4:F6 F8 B3 G1:IN1048576 B7:E8"/>
  </dataValidations>
  <pageMargins left="0.19685039370078741" right="0.19685039370078741" top="0.19685039370078741" bottom="0.19685039370078741" header="0" footer="0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80" zoomScaleNormal="80" workbookViewId="0"/>
  </sheetViews>
  <sheetFormatPr defaultColWidth="10.7109375" defaultRowHeight="18.95" customHeight="1"/>
  <cols>
    <col min="1" max="1" width="2.7109375" style="1547" customWidth="1"/>
    <col min="2" max="2" width="50.7109375" style="1547" customWidth="1"/>
    <col min="3" max="7" width="12.7109375" style="1572" customWidth="1"/>
    <col min="8" max="9" width="12.7109375" style="1547" customWidth="1"/>
    <col min="10" max="10" width="10.7109375" style="1547" customWidth="1"/>
    <col min="11" max="16384" width="10.7109375" style="1547"/>
  </cols>
  <sheetData>
    <row r="1" spans="1:10" ht="30" customHeight="1">
      <c r="A1" s="841"/>
      <c r="B1" s="743" t="s">
        <v>334</v>
      </c>
      <c r="C1" s="1026"/>
      <c r="D1" s="1026"/>
      <c r="E1" s="1026"/>
      <c r="F1" s="1026"/>
      <c r="G1" s="1026"/>
      <c r="H1" s="1027"/>
      <c r="I1" s="1027"/>
      <c r="J1" s="1028"/>
    </row>
    <row r="2" spans="1:10" ht="9.9499999999999993" customHeight="1" thickBot="1">
      <c r="A2" s="899"/>
      <c r="B2" s="746"/>
      <c r="C2" s="1029"/>
      <c r="D2" s="1029"/>
      <c r="E2" s="1029"/>
      <c r="F2" s="1029"/>
      <c r="G2" s="1029"/>
      <c r="H2" s="419"/>
      <c r="I2" s="419"/>
      <c r="J2" s="1017"/>
    </row>
    <row r="3" spans="1:10" ht="35.1" customHeight="1" thickBot="1">
      <c r="A3" s="899"/>
      <c r="B3" s="889" t="s">
        <v>0</v>
      </c>
      <c r="C3" s="1914" t="str">
        <f>VLOOKUP('Background Data'!$C$2,Inst_Tables,2,FALSE)</f>
        <v>Glasgow, University of</v>
      </c>
      <c r="D3" s="1915"/>
      <c r="E3" s="1916"/>
      <c r="F3" s="537"/>
      <c r="G3" s="1029"/>
      <c r="H3" s="419"/>
      <c r="I3" s="419"/>
      <c r="J3" s="1017"/>
    </row>
    <row r="4" spans="1:10" ht="35.1" customHeight="1">
      <c r="A4" s="899"/>
      <c r="B4" s="467" t="s">
        <v>335</v>
      </c>
      <c r="C4" s="465"/>
      <c r="D4" s="465"/>
      <c r="E4" s="465"/>
      <c r="F4" s="465"/>
      <c r="G4" s="465"/>
      <c r="H4" s="466"/>
      <c r="I4" s="466"/>
      <c r="J4" s="1030"/>
    </row>
    <row r="5" spans="1:10" s="1573" customFormat="1" ht="30" customHeight="1">
      <c r="A5" s="1031"/>
      <c r="B5" s="19" t="s">
        <v>441</v>
      </c>
      <c r="C5" s="465"/>
      <c r="D5" s="465"/>
      <c r="E5" s="465"/>
      <c r="F5" s="465"/>
      <c r="G5" s="465"/>
      <c r="H5" s="466"/>
      <c r="I5" s="466"/>
      <c r="J5" s="1030"/>
    </row>
    <row r="6" spans="1:10" s="1553" customFormat="1" ht="30" customHeight="1">
      <c r="A6" s="900"/>
      <c r="B6" s="467" t="s">
        <v>336</v>
      </c>
      <c r="C6" s="468"/>
      <c r="D6" s="468"/>
      <c r="E6" s="468"/>
      <c r="F6" s="468"/>
      <c r="G6" s="468"/>
      <c r="H6" s="468"/>
      <c r="I6" s="468"/>
      <c r="J6" s="1030"/>
    </row>
    <row r="7" spans="1:10" s="1553" customFormat="1" ht="30" customHeight="1">
      <c r="A7" s="900"/>
      <c r="B7" s="467" t="s">
        <v>290</v>
      </c>
      <c r="C7" s="468"/>
      <c r="D7" s="468"/>
      <c r="E7" s="468"/>
      <c r="F7" s="468"/>
      <c r="G7" s="468"/>
      <c r="H7" s="468"/>
      <c r="I7" s="468"/>
      <c r="J7" s="1030"/>
    </row>
    <row r="8" spans="1:10" s="1553" customFormat="1" ht="15" customHeight="1" thickBot="1">
      <c r="A8" s="900"/>
      <c r="B8" s="469"/>
      <c r="C8" s="469"/>
      <c r="D8" s="469"/>
      <c r="E8" s="469"/>
      <c r="F8" s="469"/>
      <c r="G8" s="469"/>
      <c r="H8" s="469"/>
      <c r="I8" s="469"/>
      <c r="J8" s="1030"/>
    </row>
    <row r="9" spans="1:10" ht="120" customHeight="1">
      <c r="A9" s="899"/>
      <c r="B9" s="1919" t="s">
        <v>124</v>
      </c>
      <c r="C9" s="470" t="s">
        <v>173</v>
      </c>
      <c r="D9" s="470" t="s">
        <v>95</v>
      </c>
      <c r="E9" s="470" t="s">
        <v>65</v>
      </c>
      <c r="F9" s="470" t="s">
        <v>337</v>
      </c>
      <c r="G9" s="1917" t="s">
        <v>96</v>
      </c>
      <c r="H9" s="1921"/>
      <c r="I9" s="471" t="s">
        <v>123</v>
      </c>
      <c r="J9" s="1030"/>
    </row>
    <row r="10" spans="1:10" ht="30" customHeight="1">
      <c r="A10" s="899"/>
      <c r="B10" s="1920"/>
      <c r="C10" s="472" t="s">
        <v>18</v>
      </c>
      <c r="D10" s="472" t="s">
        <v>18</v>
      </c>
      <c r="E10" s="472" t="s">
        <v>18</v>
      </c>
      <c r="F10" s="472" t="s">
        <v>18</v>
      </c>
      <c r="G10" s="472" t="s">
        <v>18</v>
      </c>
      <c r="H10" s="229" t="s">
        <v>97</v>
      </c>
      <c r="I10" s="223"/>
      <c r="J10" s="1030"/>
    </row>
    <row r="11" spans="1:10" ht="30" customHeight="1">
      <c r="A11" s="899"/>
      <c r="B11" s="1920"/>
      <c r="C11" s="473" t="s">
        <v>57</v>
      </c>
      <c r="D11" s="995" t="s">
        <v>57</v>
      </c>
      <c r="E11" s="995" t="s">
        <v>57</v>
      </c>
      <c r="F11" s="995" t="s">
        <v>57</v>
      </c>
      <c r="G11" s="995" t="s">
        <v>56</v>
      </c>
      <c r="H11" s="995" t="s">
        <v>56</v>
      </c>
      <c r="I11" s="474" t="s">
        <v>56</v>
      </c>
      <c r="J11" s="1030"/>
    </row>
    <row r="12" spans="1:10" ht="30" customHeight="1">
      <c r="A12" s="899"/>
      <c r="B12" s="475"/>
      <c r="C12" s="1158">
        <v>1</v>
      </c>
      <c r="D12" s="1158">
        <v>2</v>
      </c>
      <c r="E12" s="1158">
        <v>3</v>
      </c>
      <c r="F12" s="1158">
        <v>4</v>
      </c>
      <c r="G12" s="1158">
        <v>5</v>
      </c>
      <c r="H12" s="1158">
        <v>6</v>
      </c>
      <c r="I12" s="1159">
        <v>7</v>
      </c>
      <c r="J12" s="1030"/>
    </row>
    <row r="13" spans="1:10" ht="35.1" customHeight="1">
      <c r="A13" s="899"/>
      <c r="B13" s="476" t="s">
        <v>89</v>
      </c>
      <c r="C13" s="477"/>
      <c r="D13" s="1032"/>
      <c r="E13" s="478"/>
      <c r="F13" s="478"/>
      <c r="G13" s="477"/>
      <c r="H13" s="478"/>
      <c r="I13" s="479"/>
      <c r="J13" s="1030"/>
    </row>
    <row r="14" spans="1:10" ht="24.95" customHeight="1">
      <c r="A14" s="899"/>
      <c r="B14" s="480" t="s">
        <v>33</v>
      </c>
      <c r="C14" s="530">
        <f>VLOOKUP('Background Data'!$C$2,Inst_FPs,15,FALSE)</f>
        <v>484.4</v>
      </c>
      <c r="D14" s="530">
        <f>VLOOKUP('Background Data'!$C$2,Inst_FPs,27,FALSE)</f>
        <v>81</v>
      </c>
      <c r="E14" s="530">
        <f>SUM(C14:D14)</f>
        <v>565.4</v>
      </c>
      <c r="F14" s="530">
        <f>'Table 1 (Main)'!$O29</f>
        <v>553</v>
      </c>
      <c r="G14" s="532">
        <f>F14-E14</f>
        <v>-12.399999999999977</v>
      </c>
      <c r="H14" s="481">
        <f>IF(E14&gt;0,G14/E14,"")</f>
        <v>-2.1931376016979091E-2</v>
      </c>
      <c r="I14" s="482" t="str">
        <f>IF(H14&lt;-Controlled_Tol,"YES","NO")</f>
        <v>NO</v>
      </c>
      <c r="J14" s="1030"/>
    </row>
    <row r="15" spans="1:10" ht="24.95" customHeight="1">
      <c r="A15" s="899"/>
      <c r="B15" s="480" t="s">
        <v>34</v>
      </c>
      <c r="C15" s="530">
        <f>VLOOKUP('Background Data'!$C$2,Inst_FPs,16,FALSE)</f>
        <v>240.5</v>
      </c>
      <c r="D15" s="530">
        <f>VLOOKUP('Background Data'!$C$2,Inst_FPs,28,FALSE)</f>
        <v>0</v>
      </c>
      <c r="E15" s="530">
        <f>SUM(C15:D15)</f>
        <v>240.5</v>
      </c>
      <c r="F15" s="530">
        <f>'Table 1 (Main)'!$O30</f>
        <v>242</v>
      </c>
      <c r="G15" s="532">
        <f>F15-E15</f>
        <v>1.5</v>
      </c>
      <c r="H15" s="481">
        <f>IF(E15&gt;0,G15/E15,"")</f>
        <v>6.2370062370062374E-3</v>
      </c>
      <c r="I15" s="482" t="str">
        <f>IF(H15&lt;-Controlled_Tol,"YES","NO")</f>
        <v>NO</v>
      </c>
      <c r="J15" s="1030"/>
    </row>
    <row r="16" spans="1:10" ht="24.95" customHeight="1">
      <c r="A16" s="899"/>
      <c r="B16" s="480" t="s">
        <v>5</v>
      </c>
      <c r="C16" s="530">
        <f>VLOOKUP('Background Data'!$C$2,Inst_FPs,17,FALSE)</f>
        <v>301.89999999999998</v>
      </c>
      <c r="D16" s="530">
        <f>VLOOKUP('Background Data'!$C$2,Inst_FPs,29,FALSE)</f>
        <v>10</v>
      </c>
      <c r="E16" s="530">
        <f>SUM(C16:D16)</f>
        <v>311.89999999999998</v>
      </c>
      <c r="F16" s="530">
        <f>'Table 1 (Main)'!$O31</f>
        <v>324</v>
      </c>
      <c r="G16" s="532">
        <f>F16-E16</f>
        <v>12.100000000000023</v>
      </c>
      <c r="H16" s="481">
        <f>IF(E16&gt;0,G16/E16,"")</f>
        <v>3.8794485411991098E-2</v>
      </c>
      <c r="I16" s="482" t="str">
        <f>IF(H16&lt;-Controlled_Tol,"YES","NO")</f>
        <v>NO</v>
      </c>
      <c r="J16" s="1030"/>
    </row>
    <row r="17" spans="1:10" ht="24.95" customHeight="1">
      <c r="A17" s="899"/>
      <c r="B17" s="483" t="s">
        <v>6</v>
      </c>
      <c r="C17" s="530">
        <f>VLOOKUP('Background Data'!$C$2,Inst_FPs,18,FALSE)</f>
        <v>53.5</v>
      </c>
      <c r="D17" s="530">
        <v>0</v>
      </c>
      <c r="E17" s="533">
        <f>SUM(C17:D17)</f>
        <v>53.5</v>
      </c>
      <c r="F17" s="530">
        <f>'Table 1 (Main)'!$O32</f>
        <v>54</v>
      </c>
      <c r="G17" s="534">
        <f>F17-E17</f>
        <v>0.5</v>
      </c>
      <c r="H17" s="481">
        <f>IF(E17&gt;0,G17/E17,"")</f>
        <v>9.3457943925233638E-3</v>
      </c>
      <c r="I17" s="482" t="str">
        <f>IF(H17&lt;-Controlled_Tol,"YES","NO")</f>
        <v>NO</v>
      </c>
      <c r="J17" s="1030"/>
    </row>
    <row r="18" spans="1:10" ht="35.1" customHeight="1">
      <c r="A18" s="899"/>
      <c r="B18" s="484" t="s">
        <v>7</v>
      </c>
      <c r="C18" s="485"/>
      <c r="D18" s="486"/>
      <c r="E18" s="487"/>
      <c r="F18" s="487"/>
      <c r="G18" s="488"/>
      <c r="H18" s="489"/>
      <c r="I18" s="479"/>
      <c r="J18" s="1030"/>
    </row>
    <row r="19" spans="1:10" ht="24.95" customHeight="1">
      <c r="A19" s="899"/>
      <c r="B19" s="480" t="s">
        <v>93</v>
      </c>
      <c r="C19" s="530">
        <f>VLOOKUP('Background Data'!$C$2,Inst_FPs,19,FALSE)</f>
        <v>487.6</v>
      </c>
      <c r="D19" s="530">
        <f>VLOOKUP('Background Data'!$C$2,Inst_FPs,30,FALSE)</f>
        <v>0</v>
      </c>
      <c r="E19" s="530">
        <f t="shared" ref="E19:E26" si="0">SUM(C19:D19)</f>
        <v>487.6</v>
      </c>
      <c r="F19" s="530">
        <f>'Table 1 (Main)'!$O34</f>
        <v>551.5</v>
      </c>
      <c r="G19" s="532">
        <f t="shared" ref="G19:G24" si="1">F19-E19</f>
        <v>63.899999999999977</v>
      </c>
      <c r="H19" s="481">
        <f t="shared" ref="H19:H24" si="2">IF(E19&gt;0,G19/E19,"")</f>
        <v>0.13105004101722717</v>
      </c>
      <c r="I19" s="482" t="str">
        <f t="shared" ref="I19:I24" si="3">IF(H19&lt;-Controlled_Tol,"YES","NO")</f>
        <v>NO</v>
      </c>
      <c r="J19" s="1030"/>
    </row>
    <row r="20" spans="1:10" ht="24.95" customHeight="1">
      <c r="A20" s="899"/>
      <c r="B20" s="480" t="s">
        <v>21</v>
      </c>
      <c r="C20" s="530">
        <f>VLOOKUP('Background Data'!$C$2,Inst_FPs,20,FALSE)</f>
        <v>0</v>
      </c>
      <c r="D20" s="531">
        <v>0</v>
      </c>
      <c r="E20" s="530">
        <f t="shared" si="0"/>
        <v>0</v>
      </c>
      <c r="F20" s="530">
        <f>'Table 1 (Main)'!$O35</f>
        <v>0</v>
      </c>
      <c r="G20" s="532">
        <f t="shared" si="1"/>
        <v>0</v>
      </c>
      <c r="H20" s="481" t="str">
        <f t="shared" si="2"/>
        <v/>
      </c>
      <c r="I20" s="482" t="str">
        <f t="shared" si="3"/>
        <v>NO</v>
      </c>
      <c r="J20" s="1030"/>
    </row>
    <row r="21" spans="1:10" ht="24.95" customHeight="1">
      <c r="A21" s="899"/>
      <c r="B21" s="480" t="s">
        <v>8</v>
      </c>
      <c r="C21" s="530">
        <f>VLOOKUP('Background Data'!$C$2,Inst_FPs,21,FALSE)</f>
        <v>0</v>
      </c>
      <c r="D21" s="531">
        <v>0</v>
      </c>
      <c r="E21" s="530">
        <f t="shared" si="0"/>
        <v>0</v>
      </c>
      <c r="F21" s="530">
        <f>'Table 1 (Main)'!$O36</f>
        <v>0</v>
      </c>
      <c r="G21" s="532">
        <f t="shared" si="1"/>
        <v>0</v>
      </c>
      <c r="H21" s="481" t="str">
        <f t="shared" si="2"/>
        <v/>
      </c>
      <c r="I21" s="482" t="str">
        <f t="shared" si="3"/>
        <v>NO</v>
      </c>
      <c r="J21" s="1030"/>
    </row>
    <row r="22" spans="1:10" ht="24.95" customHeight="1">
      <c r="A22" s="899"/>
      <c r="B22" s="480" t="s">
        <v>23</v>
      </c>
      <c r="C22" s="530">
        <f>VLOOKUP('Background Data'!$C$2,Inst_FPs,22,FALSE)</f>
        <v>94.5</v>
      </c>
      <c r="D22" s="531">
        <v>0</v>
      </c>
      <c r="E22" s="530">
        <f t="shared" si="0"/>
        <v>94.5</v>
      </c>
      <c r="F22" s="530">
        <f>'Table 1 (Main)'!$O37</f>
        <v>88.600000000000009</v>
      </c>
      <c r="G22" s="532">
        <f t="shared" si="1"/>
        <v>-5.8999999999999915</v>
      </c>
      <c r="H22" s="481">
        <f t="shared" si="2"/>
        <v>-6.2433862433862342E-2</v>
      </c>
      <c r="I22" s="482" t="str">
        <f t="shared" si="3"/>
        <v>YES</v>
      </c>
      <c r="J22" s="1030"/>
    </row>
    <row r="23" spans="1:10" ht="24.95" customHeight="1">
      <c r="A23" s="899"/>
      <c r="B23" s="480" t="s">
        <v>111</v>
      </c>
      <c r="C23" s="530">
        <f>VLOOKUP('Background Data'!$C$2,Inst_FPs,23,FALSE)</f>
        <v>68.900000000000006</v>
      </c>
      <c r="D23" s="530">
        <f>VLOOKUP('Background Data'!$C$2,Inst_FPs,31,FALSE)</f>
        <v>104</v>
      </c>
      <c r="E23" s="530">
        <f t="shared" si="0"/>
        <v>172.9</v>
      </c>
      <c r="F23" s="530">
        <f>'Table 1 (Main)'!$O22</f>
        <v>170</v>
      </c>
      <c r="G23" s="532">
        <f t="shared" si="1"/>
        <v>-2.9000000000000057</v>
      </c>
      <c r="H23" s="481">
        <f t="shared" si="2"/>
        <v>-1.6772700983227331E-2</v>
      </c>
      <c r="I23" s="482" t="str">
        <f t="shared" si="3"/>
        <v>NO</v>
      </c>
      <c r="J23" s="1030"/>
    </row>
    <row r="24" spans="1:10" ht="24.95" customHeight="1">
      <c r="A24" s="899"/>
      <c r="B24" s="483" t="s">
        <v>112</v>
      </c>
      <c r="C24" s="530">
        <f>VLOOKUP('Background Data'!$C$2,Inst_FPs,24,FALSE)</f>
        <v>121.3</v>
      </c>
      <c r="D24" s="530">
        <f>VLOOKUP('Background Data'!$C$2,Inst_FPs,32,FALSE)</f>
        <v>91</v>
      </c>
      <c r="E24" s="533">
        <f t="shared" si="0"/>
        <v>212.3</v>
      </c>
      <c r="F24" s="530">
        <f>'Table 1 (Main)'!$O23</f>
        <v>194.5</v>
      </c>
      <c r="G24" s="534">
        <f t="shared" si="1"/>
        <v>-17.800000000000011</v>
      </c>
      <c r="H24" s="481">
        <f t="shared" si="2"/>
        <v>-8.3843617522374042E-2</v>
      </c>
      <c r="I24" s="482" t="str">
        <f t="shared" si="3"/>
        <v>YES</v>
      </c>
      <c r="J24" s="1030"/>
    </row>
    <row r="25" spans="1:10" ht="35.1" customHeight="1">
      <c r="A25" s="899"/>
      <c r="B25" s="484" t="s">
        <v>84</v>
      </c>
      <c r="C25" s="487"/>
      <c r="D25" s="1033"/>
      <c r="E25" s="487"/>
      <c r="F25" s="487"/>
      <c r="G25" s="529"/>
      <c r="H25" s="489"/>
      <c r="I25" s="479"/>
      <c r="J25" s="1030"/>
    </row>
    <row r="26" spans="1:10" ht="24.95" customHeight="1">
      <c r="A26" s="899"/>
      <c r="B26" s="480" t="s">
        <v>385</v>
      </c>
      <c r="C26" s="506">
        <v>0</v>
      </c>
      <c r="D26" s="530">
        <f>VLOOKUP('Background Data'!$C$2,Inst_FPs,33,FALSE)</f>
        <v>0</v>
      </c>
      <c r="E26" s="533">
        <f t="shared" si="0"/>
        <v>0</v>
      </c>
      <c r="F26" s="506">
        <f>'Table 1 (Main)'!$O16+'Table 1 (Main)'!$O39</f>
        <v>0</v>
      </c>
      <c r="G26" s="536">
        <f>F26-E26</f>
        <v>0</v>
      </c>
      <c r="H26" s="527" t="str">
        <f>IF(E26&gt;0,G26/E26,"")</f>
        <v/>
      </c>
      <c r="I26" s="528" t="str">
        <f>IF(H26&lt;-Controlled_Tol,"YES","NO")</f>
        <v>NO</v>
      </c>
      <c r="J26" s="1030"/>
    </row>
    <row r="27" spans="1:10" ht="24.95" customHeight="1" thickBot="1">
      <c r="A27" s="899"/>
      <c r="B27" s="535" t="s">
        <v>292</v>
      </c>
      <c r="C27" s="1157">
        <f>VLOOKUP('Background Data'!$C$2,Inst_FPs,25,FALSE)</f>
        <v>115</v>
      </c>
      <c r="D27" s="1157">
        <v>0</v>
      </c>
      <c r="E27" s="538">
        <f t="shared" ref="E27" si="4">SUM(C27:D27)</f>
        <v>115</v>
      </c>
      <c r="F27" s="539">
        <f>'Table 1 (Main)'!$O40</f>
        <v>130.16999999999999</v>
      </c>
      <c r="G27" s="540">
        <f>F27-E27</f>
        <v>15.169999999999987</v>
      </c>
      <c r="H27" s="490">
        <f>IF(E27&gt;0,G27/E27,"")</f>
        <v>0.13191304347826077</v>
      </c>
      <c r="I27" s="491" t="str">
        <f>IF(H27&lt;-Controlled_Tol,"YES","NO")</f>
        <v>NO</v>
      </c>
      <c r="J27" s="1034"/>
    </row>
    <row r="28" spans="1:10" ht="24" customHeight="1">
      <c r="A28" s="899"/>
      <c r="B28" s="1040"/>
      <c r="C28" s="419"/>
      <c r="D28" s="492"/>
      <c r="E28" s="492"/>
      <c r="F28" s="492"/>
      <c r="G28" s="492"/>
      <c r="H28" s="419"/>
      <c r="I28" s="466"/>
      <c r="J28" s="1030"/>
    </row>
    <row r="29" spans="1:10" ht="24.95" customHeight="1">
      <c r="A29" s="899"/>
      <c r="B29" s="467" t="s">
        <v>338</v>
      </c>
      <c r="C29" s="468"/>
      <c r="D29" s="468"/>
      <c r="E29" s="468"/>
      <c r="F29" s="468"/>
      <c r="G29" s="468"/>
      <c r="H29" s="468"/>
      <c r="I29" s="466"/>
      <c r="J29" s="1030"/>
    </row>
    <row r="30" spans="1:10" ht="24.95" customHeight="1">
      <c r="A30" s="899"/>
      <c r="B30" s="467" t="s">
        <v>290</v>
      </c>
      <c r="C30" s="468"/>
      <c r="D30" s="468"/>
      <c r="E30" s="468"/>
      <c r="F30" s="468"/>
      <c r="G30" s="468"/>
      <c r="H30" s="468"/>
      <c r="I30" s="466"/>
      <c r="J30" s="1030"/>
    </row>
    <row r="31" spans="1:10" ht="9.9499999999999993" customHeight="1" thickBot="1">
      <c r="A31" s="899"/>
      <c r="B31" s="469"/>
      <c r="C31" s="469"/>
      <c r="D31" s="469"/>
      <c r="E31" s="469"/>
      <c r="F31" s="469"/>
      <c r="G31" s="469"/>
      <c r="H31" s="468"/>
      <c r="I31" s="466"/>
      <c r="J31" s="1030"/>
    </row>
    <row r="32" spans="1:10" ht="45" customHeight="1">
      <c r="A32" s="899"/>
      <c r="B32" s="1025"/>
      <c r="C32" s="1925" t="s">
        <v>125</v>
      </c>
      <c r="D32" s="1926"/>
      <c r="E32" s="1926"/>
      <c r="F32" s="1926"/>
      <c r="G32" s="1927"/>
      <c r="H32" s="1531"/>
      <c r="I32" s="140"/>
      <c r="J32" s="1030"/>
    </row>
    <row r="33" spans="1:10" ht="120" customHeight="1">
      <c r="A33" s="899"/>
      <c r="B33" s="1922" t="s">
        <v>125</v>
      </c>
      <c r="C33" s="770" t="s">
        <v>65</v>
      </c>
      <c r="D33" s="770" t="s">
        <v>339</v>
      </c>
      <c r="E33" s="1923" t="s">
        <v>96</v>
      </c>
      <c r="F33" s="1924"/>
      <c r="G33" s="771" t="s">
        <v>123</v>
      </c>
      <c r="H33" s="1532"/>
      <c r="I33" s="418"/>
      <c r="J33" s="1030"/>
    </row>
    <row r="34" spans="1:10" ht="30" customHeight="1">
      <c r="A34" s="899"/>
      <c r="B34" s="1920"/>
      <c r="C34" s="472" t="s">
        <v>18</v>
      </c>
      <c r="D34" s="472" t="s">
        <v>18</v>
      </c>
      <c r="E34" s="472" t="s">
        <v>18</v>
      </c>
      <c r="F34" s="229" t="s">
        <v>97</v>
      </c>
      <c r="G34" s="223"/>
      <c r="H34" s="1532"/>
      <c r="I34" s="418"/>
      <c r="J34" s="1030"/>
    </row>
    <row r="35" spans="1:10" ht="30" customHeight="1">
      <c r="A35" s="899"/>
      <c r="B35" s="494"/>
      <c r="C35" s="473" t="s">
        <v>57</v>
      </c>
      <c r="D35" s="995" t="s">
        <v>57</v>
      </c>
      <c r="E35" s="995" t="s">
        <v>56</v>
      </c>
      <c r="F35" s="995" t="s">
        <v>56</v>
      </c>
      <c r="G35" s="474" t="s">
        <v>56</v>
      </c>
      <c r="H35" s="1532"/>
      <c r="I35" s="418"/>
      <c r="J35" s="1030"/>
    </row>
    <row r="36" spans="1:10" ht="30" customHeight="1">
      <c r="A36" s="899"/>
      <c r="B36" s="494"/>
      <c r="C36" s="1158">
        <v>1</v>
      </c>
      <c r="D36" s="1158">
        <v>2</v>
      </c>
      <c r="E36" s="1158">
        <v>3</v>
      </c>
      <c r="F36" s="1158">
        <v>4</v>
      </c>
      <c r="G36" s="1158">
        <v>5</v>
      </c>
      <c r="H36" s="1533"/>
      <c r="I36" s="418"/>
      <c r="J36" s="1030"/>
    </row>
    <row r="37" spans="1:10" ht="50.1" customHeight="1" thickBot="1">
      <c r="A37" s="899"/>
      <c r="B37" s="495" t="s">
        <v>126</v>
      </c>
      <c r="C37" s="1530">
        <f>VLOOKUP('Background Data'!$C$2,Inst_FPs,14,FALSE)</f>
        <v>12233.699999999999</v>
      </c>
      <c r="D37" s="1530">
        <f>SUM('Table 1 (Main)'!$O$17,'Table 1 (Main)'!$O$24,'Table 1 (Main)'!$O$42,'Table 1 (Main)'!$O$43)</f>
        <v>13080.885</v>
      </c>
      <c r="E37" s="539">
        <f>D37-C37</f>
        <v>847.18500000000131</v>
      </c>
      <c r="F37" s="496">
        <f>IF(C37&gt;0,E37/C37,"")</f>
        <v>6.9250104220309583E-2</v>
      </c>
      <c r="G37" s="491" t="str">
        <f>IF(F37&lt;-Non_controlled_Tol,"YES","NO")</f>
        <v>NO</v>
      </c>
      <c r="H37" s="1532"/>
      <c r="I37" s="418"/>
      <c r="J37" s="1030"/>
    </row>
    <row r="38" spans="1:10" ht="15">
      <c r="A38" s="899"/>
      <c r="B38" s="492"/>
      <c r="C38" s="492"/>
      <c r="D38" s="492"/>
      <c r="E38" s="492"/>
      <c r="F38" s="492"/>
      <c r="G38" s="492"/>
      <c r="H38" s="492"/>
      <c r="I38" s="466"/>
      <c r="J38" s="1030"/>
    </row>
    <row r="39" spans="1:10" ht="24.95" customHeight="1">
      <c r="A39" s="899"/>
      <c r="B39" s="467" t="s">
        <v>424</v>
      </c>
      <c r="C39" s="492"/>
      <c r="D39" s="492"/>
      <c r="E39" s="492"/>
      <c r="F39" s="492"/>
      <c r="G39" s="492"/>
      <c r="H39" s="492"/>
      <c r="I39" s="466"/>
      <c r="J39" s="1030"/>
    </row>
    <row r="40" spans="1:10" ht="24.95" customHeight="1">
      <c r="A40" s="899"/>
      <c r="B40" s="467" t="s">
        <v>422</v>
      </c>
      <c r="C40" s="468"/>
      <c r="D40" s="468"/>
      <c r="E40" s="468"/>
      <c r="F40" s="140"/>
      <c r="G40" s="140"/>
      <c r="H40" s="140"/>
      <c r="I40" s="466"/>
      <c r="J40" s="1030"/>
    </row>
    <row r="41" spans="1:10" ht="24.95" customHeight="1">
      <c r="A41" s="899"/>
      <c r="B41" s="467" t="s">
        <v>423</v>
      </c>
      <c r="C41" s="468"/>
      <c r="D41" s="468"/>
      <c r="E41" s="468"/>
      <c r="F41" s="140"/>
      <c r="G41" s="140"/>
      <c r="H41" s="140"/>
      <c r="I41" s="466"/>
      <c r="J41" s="1030"/>
    </row>
    <row r="42" spans="1:10" ht="9.9499999999999993" customHeight="1" thickBot="1">
      <c r="A42" s="899"/>
      <c r="B42" s="469"/>
      <c r="C42" s="469"/>
      <c r="D42" s="469"/>
      <c r="E42" s="469"/>
      <c r="F42" s="497"/>
      <c r="G42" s="497"/>
      <c r="H42" s="140"/>
      <c r="I42" s="466"/>
      <c r="J42" s="1030"/>
    </row>
    <row r="43" spans="1:10" ht="99.95" customHeight="1">
      <c r="A43" s="899"/>
      <c r="B43" s="498" t="s">
        <v>127</v>
      </c>
      <c r="C43" s="499" t="s">
        <v>445</v>
      </c>
      <c r="D43" s="470" t="s">
        <v>291</v>
      </c>
      <c r="E43" s="1917" t="s">
        <v>425</v>
      </c>
      <c r="F43" s="1918"/>
      <c r="G43" s="471" t="s">
        <v>129</v>
      </c>
      <c r="H43" s="493"/>
      <c r="I43" s="1529"/>
      <c r="J43" s="1030"/>
    </row>
    <row r="44" spans="1:10" ht="30" customHeight="1">
      <c r="A44" s="899"/>
      <c r="B44" s="500"/>
      <c r="C44" s="1035" t="s">
        <v>18</v>
      </c>
      <c r="D44" s="472" t="s">
        <v>18</v>
      </c>
      <c r="E44" s="472" t="s">
        <v>18</v>
      </c>
      <c r="F44" s="472" t="s">
        <v>97</v>
      </c>
      <c r="G44" s="223"/>
      <c r="H44" s="419"/>
      <c r="I44" s="1529"/>
      <c r="J44" s="1030"/>
    </row>
    <row r="45" spans="1:10" ht="30" customHeight="1">
      <c r="A45" s="899"/>
      <c r="B45" s="500"/>
      <c r="C45" s="1036" t="s">
        <v>57</v>
      </c>
      <c r="D45" s="473" t="s">
        <v>57</v>
      </c>
      <c r="E45" s="473" t="s">
        <v>56</v>
      </c>
      <c r="F45" s="473" t="s">
        <v>56</v>
      </c>
      <c r="G45" s="474" t="s">
        <v>56</v>
      </c>
      <c r="H45" s="419"/>
      <c r="I45" s="1529"/>
      <c r="J45" s="1030"/>
    </row>
    <row r="46" spans="1:10" ht="30" customHeight="1">
      <c r="A46" s="899"/>
      <c r="B46" s="501"/>
      <c r="C46" s="1158">
        <v>1</v>
      </c>
      <c r="D46" s="1158">
        <v>2</v>
      </c>
      <c r="E46" s="1158">
        <v>3</v>
      </c>
      <c r="F46" s="1158">
        <v>4</v>
      </c>
      <c r="G46" s="1159">
        <v>5</v>
      </c>
      <c r="H46" s="419"/>
      <c r="I46" s="466"/>
      <c r="J46" s="1030"/>
    </row>
    <row r="47" spans="1:10" ht="35.1" customHeight="1">
      <c r="A47" s="899"/>
      <c r="B47" s="502" t="s">
        <v>83</v>
      </c>
      <c r="C47" s="541"/>
      <c r="D47" s="503"/>
      <c r="E47" s="503"/>
      <c r="F47" s="504"/>
      <c r="G47" s="474"/>
      <c r="H47" s="419"/>
      <c r="I47" s="466"/>
      <c r="J47" s="1030"/>
    </row>
    <row r="48" spans="1:10" ht="35.1" customHeight="1">
      <c r="A48" s="899"/>
      <c r="B48" s="505" t="s">
        <v>151</v>
      </c>
      <c r="C48" s="542"/>
      <c r="D48" s="543"/>
      <c r="E48" s="543"/>
      <c r="F48" s="544"/>
      <c r="G48" s="545"/>
      <c r="H48" s="419"/>
      <c r="I48" s="466"/>
      <c r="J48" s="1030"/>
    </row>
    <row r="49" spans="1:10" ht="30" customHeight="1">
      <c r="A49" s="899"/>
      <c r="B49" s="507" t="s">
        <v>150</v>
      </c>
      <c r="C49" s="546">
        <f>VLOOKUP('Background Data'!$C$2,Inst_FPs,35,FALSE)</f>
        <v>1168</v>
      </c>
      <c r="D49" s="546">
        <f>SUM('Table 1 (Main)'!$U$29,'Table 1 (Main)'!$U$31)</f>
        <v>1151</v>
      </c>
      <c r="E49" s="546">
        <f>D49-C49</f>
        <v>-17</v>
      </c>
      <c r="F49" s="508">
        <f>IF(C49&gt;0,E49/C49,"")</f>
        <v>-1.4554794520547944E-2</v>
      </c>
      <c r="G49" s="509" t="str">
        <f>IF(C49&gt;=100,IF(F49&gt;Consol_Tol_Per,"Yes","No"),IF(C49&gt;0,IF(E49&gt;Consol_Tol_FTE,"Yes","No"),"No"))</f>
        <v>No</v>
      </c>
      <c r="H49" s="419"/>
      <c r="I49" s="466"/>
      <c r="J49" s="1030"/>
    </row>
    <row r="50" spans="1:10" ht="35.1" customHeight="1">
      <c r="A50" s="899"/>
      <c r="B50" s="505" t="s">
        <v>204</v>
      </c>
      <c r="C50" s="510"/>
      <c r="D50" s="511"/>
      <c r="E50" s="511"/>
      <c r="F50" s="511"/>
      <c r="G50" s="512"/>
      <c r="H50" s="419"/>
      <c r="I50" s="466"/>
      <c r="J50" s="1030"/>
    </row>
    <row r="51" spans="1:10" ht="30" customHeight="1">
      <c r="A51" s="899"/>
      <c r="B51" s="507" t="s">
        <v>150</v>
      </c>
      <c r="C51" s="546">
        <f>VLOOKUP('Background Data'!$C$2,Inst_FPs,36,FALSE)</f>
        <v>357</v>
      </c>
      <c r="D51" s="546">
        <f>SUM('Table 1 (Main)'!$U$30,'Table 1 (Main)'!$U$32)</f>
        <v>364</v>
      </c>
      <c r="E51" s="546">
        <f>D51-C51</f>
        <v>7</v>
      </c>
      <c r="F51" s="508">
        <f>IF(C51&gt;0,E51/C51,"")</f>
        <v>1.9607843137254902E-2</v>
      </c>
      <c r="G51" s="509" t="str">
        <f>IF(C51&gt;=100,IF(F51&gt;Consol_Tol_Per,"Yes","No"),IF(C51&gt;0,IF(E51&gt;Consol_Tol_FTE,"Yes","No"),"No"))</f>
        <v>No</v>
      </c>
      <c r="H51" s="419"/>
      <c r="I51" s="466"/>
      <c r="J51" s="1030"/>
    </row>
    <row r="52" spans="1:10" ht="50.1" customHeight="1">
      <c r="A52" s="899"/>
      <c r="B52" s="513" t="s">
        <v>159</v>
      </c>
      <c r="C52" s="419"/>
      <c r="D52" s="514"/>
      <c r="E52" s="514"/>
      <c r="F52" s="514"/>
      <c r="G52" s="515"/>
      <c r="H52" s="419"/>
      <c r="I52" s="468"/>
      <c r="J52" s="1030"/>
    </row>
    <row r="53" spans="1:10" ht="30" customHeight="1">
      <c r="A53" s="899"/>
      <c r="B53" s="507" t="s">
        <v>19</v>
      </c>
      <c r="C53" s="546">
        <f>VLOOKUP('Background Data'!$C$2,Inst_FPs,37,FALSE)</f>
        <v>666</v>
      </c>
      <c r="D53" s="546">
        <f>SUM('Table 1 (Main)'!$U$22,'Table 1 (Main)'!$U$34)</f>
        <v>731.5</v>
      </c>
      <c r="E53" s="546">
        <f>D53-C53</f>
        <v>65.5</v>
      </c>
      <c r="F53" s="508">
        <f>IF(C53&gt;0,E53/C53,"")</f>
        <v>9.8348348348348352E-2</v>
      </c>
      <c r="G53" s="509" t="str">
        <f>IF(C53&gt;=100,IF(F53&gt;Consol_Tol_Per,"Yes","No"),IF(C53&gt;0,IF(E53&gt;Consol_Tol_FTE,"Yes","No"),"No"))</f>
        <v>No</v>
      </c>
      <c r="H53" s="419"/>
      <c r="I53" s="468"/>
      <c r="J53" s="1030"/>
    </row>
    <row r="54" spans="1:10" ht="30" customHeight="1">
      <c r="A54" s="899"/>
      <c r="B54" s="507" t="s">
        <v>20</v>
      </c>
      <c r="C54" s="546">
        <f>VLOOKUP('Background Data'!$C$2,Inst_FPs,38,FALSE)</f>
        <v>312</v>
      </c>
      <c r="D54" s="546">
        <f>SUM('Table 1 (Main)'!$U$23,'Table 1 (Main)'!$U$35,'Table 1 (Main)'!$U$36,'Table 1 (Main)'!$U$37)</f>
        <v>289.10000000000002</v>
      </c>
      <c r="E54" s="546">
        <f>D54-C54</f>
        <v>-22.899999999999977</v>
      </c>
      <c r="F54" s="508">
        <f>IF(C54&gt;0,E54/C54,"")</f>
        <v>-7.3397435897435831E-2</v>
      </c>
      <c r="G54" s="509" t="str">
        <f>IF(C54&gt;=100,IF(F54&gt;Consol_Tol_Per,"Yes","No"),IF(C54&gt;0,IF(E54&gt;Consol_Tol_FTE,"Yes","No"),"No"))</f>
        <v>No</v>
      </c>
      <c r="H54" s="419"/>
      <c r="I54" s="468"/>
      <c r="J54" s="1030"/>
    </row>
    <row r="55" spans="1:10" ht="35.1" customHeight="1">
      <c r="A55" s="899"/>
      <c r="B55" s="513" t="s">
        <v>152</v>
      </c>
      <c r="C55" s="516"/>
      <c r="D55" s="517"/>
      <c r="E55" s="517"/>
      <c r="F55" s="517"/>
      <c r="G55" s="518"/>
      <c r="H55" s="419"/>
      <c r="I55" s="468"/>
      <c r="J55" s="1030"/>
    </row>
    <row r="56" spans="1:10" ht="30" customHeight="1">
      <c r="A56" s="899"/>
      <c r="B56" s="519" t="s">
        <v>150</v>
      </c>
      <c r="C56" s="546">
        <f>VLOOKUP('Background Data'!$C$2,Inst_FPs,39,FALSE)</f>
        <v>115</v>
      </c>
      <c r="D56" s="506">
        <f>'Table 1 (Main)'!$U$16+'Table 1 (Main)'!$U$39+'Table 1 (Main)'!$U$40</f>
        <v>130.16999999999999</v>
      </c>
      <c r="E56" s="546">
        <f>D56-C56</f>
        <v>15.169999999999987</v>
      </c>
      <c r="F56" s="508">
        <f>IF(C56&gt;0,E56/C56,"")</f>
        <v>0.13191304347826077</v>
      </c>
      <c r="G56" s="509" t="str">
        <f>IF(C56&gt;=100,IF(F56&gt;Consol_Tol_Per,"Yes","No"),IF(C56&gt;0,IF(E56&gt;Consol_Tol_FTE,"Yes","No"),"No"))</f>
        <v>Yes</v>
      </c>
      <c r="H56" s="419"/>
      <c r="I56" s="468"/>
      <c r="J56" s="1030"/>
    </row>
    <row r="57" spans="1:10" ht="35.1" customHeight="1">
      <c r="A57" s="899"/>
      <c r="B57" s="520" t="s">
        <v>128</v>
      </c>
      <c r="C57" s="514"/>
      <c r="D57" s="514"/>
      <c r="E57" s="514"/>
      <c r="F57" s="514"/>
      <c r="G57" s="515"/>
      <c r="H57" s="419"/>
      <c r="I57" s="468"/>
      <c r="J57" s="1030"/>
    </row>
    <row r="58" spans="1:10" ht="30" customHeight="1" thickBot="1">
      <c r="A58" s="899"/>
      <c r="B58" s="521" t="s">
        <v>153</v>
      </c>
      <c r="C58" s="539">
        <f>VLOOKUP('Background Data'!$C$2,Inst_FPs,40,FALSE)</f>
        <v>11131</v>
      </c>
      <c r="D58" s="539">
        <f>SUM('Table 1 (Main)'!$H$42,'Table 1 (Main)'!$H$43)</f>
        <v>11218.005000000001</v>
      </c>
      <c r="E58" s="539">
        <f>D58-C58</f>
        <v>87.005000000001019</v>
      </c>
      <c r="F58" s="496">
        <f>IF(C58&gt;0,E58/C58,"")</f>
        <v>7.8164585392148968E-3</v>
      </c>
      <c r="G58" s="522" t="str">
        <f>IF(C58&gt;=100,IF(F58&gt;Consol_Tol_Per,"Yes","No"),IF(C58&gt;0,IF(E58&gt;Consol_Tol_FTE,"Yes","No"),"No"))</f>
        <v>No</v>
      </c>
      <c r="H58" s="419"/>
      <c r="I58" s="468"/>
      <c r="J58" s="1030"/>
    </row>
    <row r="59" spans="1:10" ht="18.95" customHeight="1">
      <c r="A59" s="776"/>
      <c r="B59" s="1037"/>
      <c r="C59" s="1038"/>
      <c r="D59" s="1038"/>
      <c r="E59" s="1038"/>
      <c r="F59" s="1038"/>
      <c r="G59" s="1038"/>
      <c r="H59" s="1038"/>
      <c r="I59" s="1038"/>
      <c r="J59" s="1039"/>
    </row>
    <row r="60" spans="1:10" ht="24.95" hidden="1" customHeight="1">
      <c r="A60" s="78"/>
      <c r="B60" s="523" t="s">
        <v>120</v>
      </c>
      <c r="C60" s="524"/>
      <c r="D60" s="524"/>
      <c r="E60" s="524"/>
      <c r="F60" s="524"/>
      <c r="G60" s="524"/>
      <c r="H60" s="78"/>
      <c r="I60" s="78"/>
      <c r="J60" s="78"/>
    </row>
    <row r="61" spans="1:10" ht="24.95" hidden="1" customHeight="1">
      <c r="A61" s="78"/>
      <c r="B61" s="78" t="s">
        <v>121</v>
      </c>
      <c r="C61" s="525">
        <v>0.03</v>
      </c>
      <c r="D61" s="524"/>
      <c r="E61" s="524"/>
      <c r="F61" s="524"/>
      <c r="G61" s="524"/>
      <c r="H61" s="78"/>
      <c r="I61" s="78"/>
      <c r="J61" s="78"/>
    </row>
    <row r="62" spans="1:10" ht="24.95" hidden="1" customHeight="1">
      <c r="A62" s="78"/>
      <c r="B62" s="78" t="s">
        <v>122</v>
      </c>
      <c r="C62" s="525">
        <v>0.02</v>
      </c>
      <c r="D62" s="524"/>
      <c r="E62" s="524"/>
      <c r="F62" s="524"/>
      <c r="G62" s="524"/>
      <c r="H62" s="78"/>
      <c r="I62" s="78"/>
      <c r="J62" s="78"/>
    </row>
    <row r="63" spans="1:10" ht="24.95" hidden="1" customHeight="1">
      <c r="A63" s="78"/>
      <c r="B63" s="78" t="s">
        <v>154</v>
      </c>
      <c r="C63" s="525">
        <v>0.1</v>
      </c>
      <c r="D63" s="524"/>
      <c r="E63" s="524"/>
      <c r="F63" s="524"/>
      <c r="G63" s="524"/>
      <c r="H63" s="78"/>
      <c r="I63" s="78"/>
      <c r="J63" s="78"/>
    </row>
    <row r="64" spans="1:10" ht="24.95" hidden="1" customHeight="1">
      <c r="A64" s="78"/>
      <c r="B64" s="78" t="s">
        <v>155</v>
      </c>
      <c r="C64" s="526">
        <v>10</v>
      </c>
      <c r="D64" s="524"/>
      <c r="E64" s="524"/>
      <c r="F64" s="524"/>
      <c r="G64" s="524"/>
      <c r="H64" s="78"/>
      <c r="I64" s="78"/>
      <c r="J64" s="78"/>
    </row>
  </sheetData>
  <sheetProtection password="E23E" sheet="1" objects="1" scenarios="1"/>
  <mergeCells count="7">
    <mergeCell ref="C3:E3"/>
    <mergeCell ref="E43:F43"/>
    <mergeCell ref="B9:B11"/>
    <mergeCell ref="G9:H9"/>
    <mergeCell ref="B33:B34"/>
    <mergeCell ref="E33:F33"/>
    <mergeCell ref="C32:G32"/>
  </mergeCells>
  <conditionalFormatting sqref="G47:G49">
    <cfRule type="cellIs" dxfId="6" priority="15" operator="equal">
      <formula>"YES"</formula>
    </cfRule>
  </conditionalFormatting>
  <conditionalFormatting sqref="G47:G49 I14:I17 I19:I24 I26">
    <cfRule type="cellIs" dxfId="5" priority="13" operator="equal">
      <formula>"YES"</formula>
    </cfRule>
  </conditionalFormatting>
  <conditionalFormatting sqref="G37">
    <cfRule type="cellIs" dxfId="4" priority="11" operator="equal">
      <formula>"YES"</formula>
    </cfRule>
  </conditionalFormatting>
  <conditionalFormatting sqref="G58 G56 G53:G54 G51">
    <cfRule type="cellIs" dxfId="3" priority="8" operator="equal">
      <formula>"YES"</formula>
    </cfRule>
  </conditionalFormatting>
  <conditionalFormatting sqref="G58 G56 G53:G54 G51">
    <cfRule type="cellIs" dxfId="2" priority="7" operator="equal">
      <formula>"YES"</formula>
    </cfRule>
  </conditionalFormatting>
  <conditionalFormatting sqref="B1:B2">
    <cfRule type="expression" dxfId="1" priority="2" stopIfTrue="1">
      <formula>#REF!=0</formula>
    </cfRule>
  </conditionalFormatting>
  <conditionalFormatting sqref="I27">
    <cfRule type="cellIs" dxfId="0" priority="1" operator="equal">
      <formula>"YES"</formula>
    </cfRule>
  </conditionalFormatting>
  <dataValidations count="1">
    <dataValidation allowBlank="1" sqref="G45:G46 C43:E45 B43 I9 B9 G33 J28:J59 H4:I5 C34:C36 B37:C37 G43 D46:F46 E56:G56 F44:F45 B47:B48 C46:C47 C58:G58 B49:C49 C51 D34:F37 D53:G54 D47:G51 J4:J8 C3 K28:FL28 K4:FL5 K6:FI8 J9:FJ27 B13:B28 H10:H28 I11:I31 B50:B59 C53:C56 B33:E33 C38:H39 B38 H34:H37 I38:I51 G35:G37 C9:G28"/>
  </dataValidations>
  <printOptions horizontalCentered="1"/>
  <pageMargins left="0.15748031496062992" right="0.15748031496062992" top="0.15748031496062992" bottom="0.15748031496062992" header="0.15748031496062992" footer="0.15748031496062992"/>
  <pageSetup paperSize="9" scale="65" fitToHeight="2" orientation="portrait" r:id="rId1"/>
  <headerFooter alignWithMargins="0"/>
  <rowBreaks count="1" manualBreakCount="1">
    <brk id="37" min="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P151"/>
  <sheetViews>
    <sheetView zoomScale="80" zoomScaleNormal="80" workbookViewId="0">
      <selection activeCell="C2" sqref="C2"/>
    </sheetView>
  </sheetViews>
  <sheetFormatPr defaultColWidth="9.140625" defaultRowHeight="15"/>
  <cols>
    <col min="1" max="1" width="7.7109375" style="1193" customWidth="1"/>
    <col min="2" max="2" width="55.85546875" style="1193" customWidth="1"/>
    <col min="3" max="65" width="11.7109375" style="1193" customWidth="1"/>
    <col min="66" max="68" width="9.140625" style="1372"/>
    <col min="69" max="16384" width="9.140625" style="1193"/>
  </cols>
  <sheetData>
    <row r="2" spans="1:68" ht="30" customHeight="1">
      <c r="A2" s="1192" t="s">
        <v>114</v>
      </c>
      <c r="C2" s="1194">
        <v>8</v>
      </c>
      <c r="D2" s="1086" t="str">
        <f>VLOOKUP(C2,Inst_Tables,2,FALSE)</f>
        <v>Glasgow, University of</v>
      </c>
      <c r="BN2" s="1193"/>
      <c r="BO2" s="1193"/>
      <c r="BP2" s="1193"/>
    </row>
    <row r="3" spans="1:68" ht="18" customHeight="1">
      <c r="BN3" s="1193"/>
      <c r="BO3" s="1193"/>
      <c r="BP3" s="1193"/>
    </row>
    <row r="4" spans="1:68" ht="20.100000000000001" customHeight="1" thickBot="1">
      <c r="A4" s="1195" t="s">
        <v>113</v>
      </c>
      <c r="C4" s="1196"/>
      <c r="D4" s="1197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2"/>
      <c r="P4" s="1198"/>
      <c r="Q4" s="1198"/>
      <c r="R4" s="1198"/>
      <c r="S4" s="1155"/>
      <c r="T4" s="1155"/>
      <c r="U4" s="1155"/>
      <c r="V4" s="1155"/>
      <c r="W4" s="1199"/>
      <c r="X4" s="1200"/>
      <c r="Y4" s="1200"/>
      <c r="Z4" s="1200"/>
      <c r="AA4" s="1200"/>
      <c r="AB4" s="1200"/>
      <c r="AC4" s="1200"/>
      <c r="AD4" s="1200"/>
      <c r="AE4" s="1200"/>
      <c r="AF4" s="1200"/>
      <c r="AV4" s="1201"/>
      <c r="BN4" s="1193"/>
      <c r="BO4" s="1193"/>
      <c r="BP4" s="1193"/>
    </row>
    <row r="5" spans="1:68">
      <c r="B5" s="1"/>
      <c r="C5" s="1198"/>
      <c r="D5" s="1202"/>
      <c r="E5" s="1202"/>
      <c r="F5" s="1202"/>
      <c r="G5" s="1198"/>
      <c r="H5" s="1198"/>
      <c r="I5" s="1202"/>
      <c r="J5" s="1202"/>
      <c r="K5" s="1202"/>
      <c r="L5" s="1203"/>
      <c r="M5" s="1198"/>
      <c r="N5" s="1198"/>
      <c r="O5" s="1102"/>
      <c r="P5" s="1198"/>
      <c r="Q5" s="1198"/>
      <c r="R5" s="1198"/>
      <c r="S5" s="1198"/>
      <c r="T5" s="1198"/>
      <c r="U5" s="1103"/>
      <c r="V5" s="1103"/>
      <c r="W5" s="1103"/>
      <c r="X5" s="1103"/>
      <c r="Y5" s="1103"/>
      <c r="Z5" s="1103"/>
      <c r="AA5" s="1103"/>
      <c r="AB5" s="1103"/>
      <c r="AC5" s="1103"/>
      <c r="AD5" s="1103"/>
      <c r="AE5" s="1103"/>
      <c r="AF5" s="1103"/>
      <c r="BN5" s="1193"/>
      <c r="BO5" s="1193"/>
      <c r="BP5" s="1193"/>
    </row>
    <row r="6" spans="1:68" ht="20.100000000000001" customHeight="1">
      <c r="A6" s="1204" t="s">
        <v>317</v>
      </c>
      <c r="B6" s="1"/>
      <c r="C6" s="1198"/>
      <c r="E6" s="1202"/>
      <c r="F6" s="1202"/>
      <c r="G6" s="1198"/>
      <c r="H6" s="1198"/>
      <c r="I6" s="1202"/>
      <c r="J6" s="1202"/>
      <c r="K6" s="1202"/>
      <c r="L6" s="1203"/>
      <c r="M6" s="1198"/>
      <c r="N6" s="1198"/>
      <c r="O6" s="1102"/>
      <c r="P6" s="1198"/>
      <c r="Q6" s="1198"/>
      <c r="R6" s="1198"/>
      <c r="S6" s="1198"/>
      <c r="T6" s="1198"/>
      <c r="U6" s="1202"/>
      <c r="V6" s="1202"/>
      <c r="W6" s="1202"/>
      <c r="BN6" s="1193"/>
      <c r="BO6" s="1193"/>
      <c r="BP6" s="1193"/>
    </row>
    <row r="7" spans="1:68" ht="20.100000000000001" customHeight="1">
      <c r="A7" s="1205">
        <v>1</v>
      </c>
      <c r="B7" s="2">
        <v>2</v>
      </c>
      <c r="C7" s="1205">
        <v>3</v>
      </c>
      <c r="D7" s="2">
        <v>4</v>
      </c>
      <c r="E7" s="1205">
        <v>5</v>
      </c>
      <c r="F7" s="2">
        <v>6</v>
      </c>
      <c r="G7" s="1205">
        <v>7</v>
      </c>
      <c r="H7" s="2">
        <v>8</v>
      </c>
      <c r="I7" s="1205">
        <v>9</v>
      </c>
      <c r="J7" s="2">
        <v>10</v>
      </c>
      <c r="K7" s="1205">
        <v>11</v>
      </c>
      <c r="L7" s="2">
        <v>12</v>
      </c>
      <c r="M7" s="1205">
        <v>13</v>
      </c>
      <c r="N7" s="2">
        <v>14</v>
      </c>
      <c r="O7" s="1205">
        <v>15</v>
      </c>
      <c r="P7" s="2">
        <v>16</v>
      </c>
      <c r="Q7" s="1205">
        <v>17</v>
      </c>
      <c r="R7" s="2">
        <v>18</v>
      </c>
      <c r="S7" s="1198"/>
      <c r="T7" s="1198"/>
      <c r="U7" s="1202"/>
      <c r="V7" s="1202"/>
      <c r="W7" s="1202"/>
      <c r="BN7" s="1193"/>
      <c r="BO7" s="1193"/>
      <c r="BP7" s="1193"/>
    </row>
    <row r="8" spans="1:68" ht="15.75" thickBot="1">
      <c r="B8" s="1"/>
      <c r="C8" s="1198"/>
      <c r="D8" s="1202"/>
      <c r="E8" s="1202"/>
      <c r="F8" s="1202"/>
      <c r="G8" s="1198"/>
      <c r="H8" s="1198"/>
      <c r="K8" s="1202"/>
      <c r="L8" s="1203"/>
      <c r="M8" s="1198"/>
      <c r="N8" s="1198"/>
      <c r="P8" s="1202"/>
      <c r="Q8" s="1202"/>
      <c r="R8" s="1198"/>
      <c r="S8" s="1198"/>
      <c r="T8" s="1198"/>
      <c r="U8" s="1202"/>
      <c r="V8" s="1202"/>
      <c r="W8" s="1202"/>
      <c r="BN8" s="1193"/>
      <c r="BO8" s="1193"/>
      <c r="BP8" s="1193"/>
    </row>
    <row r="9" spans="1:68" ht="60" customHeight="1">
      <c r="A9" s="1206"/>
      <c r="B9" s="1207"/>
      <c r="C9" s="1965" t="s">
        <v>146</v>
      </c>
      <c r="D9" s="1966"/>
      <c r="E9" s="1966"/>
      <c r="F9" s="1966"/>
      <c r="G9" s="1966"/>
      <c r="H9" s="1966"/>
      <c r="I9" s="1966"/>
      <c r="J9" s="1966"/>
      <c r="K9" s="1966"/>
      <c r="L9" s="1966"/>
      <c r="M9" s="1966"/>
      <c r="N9" s="1966"/>
      <c r="O9" s="1967"/>
      <c r="P9" s="1938" t="s">
        <v>202</v>
      </c>
      <c r="Q9" s="1938"/>
      <c r="R9" s="1947"/>
      <c r="S9" s="1198"/>
      <c r="T9" s="1198"/>
      <c r="U9" s="1202"/>
      <c r="V9" s="1202"/>
      <c r="W9" s="1202"/>
      <c r="BN9" s="1193"/>
      <c r="BO9" s="1193"/>
      <c r="BP9" s="1193"/>
    </row>
    <row r="10" spans="1:68" ht="30" customHeight="1">
      <c r="A10" s="1208"/>
      <c r="B10" s="1209"/>
      <c r="C10" s="1210" t="s">
        <v>147</v>
      </c>
      <c r="D10" s="1210" t="s">
        <v>148</v>
      </c>
      <c r="E10" s="1210" t="s">
        <v>149</v>
      </c>
      <c r="F10" s="1211" t="s">
        <v>240</v>
      </c>
      <c r="G10" s="1212">
        <v>3</v>
      </c>
      <c r="H10" s="1212" t="s">
        <v>226</v>
      </c>
      <c r="I10" s="1212" t="s">
        <v>227</v>
      </c>
      <c r="J10" s="1213" t="s">
        <v>188</v>
      </c>
      <c r="K10" s="1213" t="s">
        <v>189</v>
      </c>
      <c r="L10" s="1213" t="s">
        <v>190</v>
      </c>
      <c r="M10" s="1213" t="s">
        <v>191</v>
      </c>
      <c r="N10" s="1213" t="s">
        <v>192</v>
      </c>
      <c r="O10" s="1675" t="s">
        <v>408</v>
      </c>
      <c r="P10" s="1214" t="s">
        <v>43</v>
      </c>
      <c r="Q10" s="1215" t="s">
        <v>32</v>
      </c>
      <c r="R10" s="1216" t="s">
        <v>309</v>
      </c>
      <c r="S10" s="1198"/>
      <c r="T10" s="1198"/>
      <c r="U10" s="1202"/>
      <c r="V10" s="1202"/>
      <c r="W10" s="1202"/>
      <c r="BN10" s="1193"/>
      <c r="BO10" s="1193"/>
      <c r="BP10" s="1193"/>
    </row>
    <row r="11" spans="1:68" ht="20.100000000000001" customHeight="1">
      <c r="A11" s="1217">
        <v>1</v>
      </c>
      <c r="B11" s="1218" t="s">
        <v>44</v>
      </c>
      <c r="C11" s="1219">
        <v>1</v>
      </c>
      <c r="D11" s="1219">
        <v>1</v>
      </c>
      <c r="E11" s="1219">
        <v>0</v>
      </c>
      <c r="F11" s="1674">
        <f t="shared" ref="F11:F29" si="0">IF(SUM(X41,AE41)&gt;0,1,0)</f>
        <v>1</v>
      </c>
      <c r="G11" s="1219">
        <v>2</v>
      </c>
      <c r="H11" s="1219">
        <v>0</v>
      </c>
      <c r="I11" s="1219">
        <v>0</v>
      </c>
      <c r="J11" s="1674">
        <f>IF(C41&gt;0,1,0)</f>
        <v>1</v>
      </c>
      <c r="K11" s="1674">
        <f t="shared" ref="K11:L26" si="1">IF(D41&gt;0,1,0)</f>
        <v>1</v>
      </c>
      <c r="L11" s="1674">
        <f t="shared" si="1"/>
        <v>1</v>
      </c>
      <c r="M11" s="1674">
        <f t="shared" ref="M11:M29" si="2">IF(G41&gt;0,1,0)</f>
        <v>1</v>
      </c>
      <c r="N11" s="1674">
        <f t="shared" ref="N11:N29" si="3">IF(SUM(H41:H41)&gt;0,1,0)</f>
        <v>0</v>
      </c>
      <c r="O11" s="1676">
        <f>IF(SUM(I41:K41)&gt;0,1,0)</f>
        <v>0</v>
      </c>
      <c r="P11" s="1220">
        <v>3</v>
      </c>
      <c r="Q11" s="1221">
        <v>4</v>
      </c>
      <c r="R11" s="1222">
        <v>45</v>
      </c>
      <c r="S11" s="1576"/>
      <c r="T11" s="1237"/>
      <c r="U11" s="1237"/>
      <c r="V11" s="1575"/>
      <c r="W11" s="1202"/>
      <c r="BN11" s="1193"/>
      <c r="BO11" s="1193"/>
      <c r="BP11" s="1193"/>
    </row>
    <row r="12" spans="1:68" ht="20.100000000000001" customHeight="1">
      <c r="A12" s="1217">
        <v>2</v>
      </c>
      <c r="B12" s="1218" t="s">
        <v>45</v>
      </c>
      <c r="C12" s="1219">
        <v>0</v>
      </c>
      <c r="D12" s="1219">
        <v>0</v>
      </c>
      <c r="E12" s="1219">
        <v>0</v>
      </c>
      <c r="F12" s="1224">
        <f t="shared" si="0"/>
        <v>0</v>
      </c>
      <c r="G12" s="1219">
        <v>0</v>
      </c>
      <c r="H12" s="1219">
        <v>0</v>
      </c>
      <c r="I12" s="1219">
        <v>1</v>
      </c>
      <c r="J12" s="1224">
        <f t="shared" ref="J12:L27" si="4">IF(C42&gt;0,1,0)</f>
        <v>0</v>
      </c>
      <c r="K12" s="1224">
        <f t="shared" si="1"/>
        <v>1</v>
      </c>
      <c r="L12" s="1224">
        <f t="shared" si="1"/>
        <v>1</v>
      </c>
      <c r="M12" s="1224">
        <f t="shared" si="2"/>
        <v>1</v>
      </c>
      <c r="N12" s="1224">
        <f t="shared" si="3"/>
        <v>0</v>
      </c>
      <c r="O12" s="1677">
        <f t="shared" ref="O12:O29" si="5">IF(SUM(I42:K42)&gt;0,1,0)</f>
        <v>0</v>
      </c>
      <c r="P12" s="1220">
        <v>5</v>
      </c>
      <c r="Q12" s="1221">
        <v>6</v>
      </c>
      <c r="R12" s="1225">
        <v>46</v>
      </c>
      <c r="S12" s="1577"/>
      <c r="T12" s="1237"/>
      <c r="U12" s="1237"/>
      <c r="V12" s="1575"/>
      <c r="W12" s="1202"/>
      <c r="BN12" s="1193"/>
      <c r="BO12" s="1193"/>
      <c r="BP12" s="1193"/>
    </row>
    <row r="13" spans="1:68" ht="20.100000000000001" customHeight="1">
      <c r="A13" s="1217">
        <v>3</v>
      </c>
      <c r="B13" s="1218" t="s">
        <v>46</v>
      </c>
      <c r="C13" s="1219">
        <v>1</v>
      </c>
      <c r="D13" s="1219">
        <v>1</v>
      </c>
      <c r="E13" s="1219">
        <v>0</v>
      </c>
      <c r="F13" s="1224">
        <f t="shared" si="0"/>
        <v>1</v>
      </c>
      <c r="G13" s="1219">
        <v>1</v>
      </c>
      <c r="H13" s="1219">
        <v>1</v>
      </c>
      <c r="I13" s="1219">
        <v>0</v>
      </c>
      <c r="J13" s="1224">
        <f t="shared" si="4"/>
        <v>1</v>
      </c>
      <c r="K13" s="1224">
        <f t="shared" si="1"/>
        <v>1</v>
      </c>
      <c r="L13" s="1224">
        <f t="shared" si="1"/>
        <v>1</v>
      </c>
      <c r="M13" s="1224">
        <f t="shared" si="2"/>
        <v>1</v>
      </c>
      <c r="N13" s="1224">
        <f t="shared" si="3"/>
        <v>0</v>
      </c>
      <c r="O13" s="1677">
        <f t="shared" si="5"/>
        <v>0</v>
      </c>
      <c r="P13" s="1220">
        <v>7</v>
      </c>
      <c r="Q13" s="1221">
        <v>8</v>
      </c>
      <c r="R13" s="1225">
        <v>47</v>
      </c>
      <c r="S13" s="1576"/>
      <c r="T13" s="1237"/>
      <c r="U13" s="1237"/>
      <c r="V13" s="1575"/>
      <c r="W13" s="1202"/>
      <c r="BN13" s="1193"/>
      <c r="BO13" s="1193"/>
      <c r="BP13" s="1193"/>
    </row>
    <row r="14" spans="1:68" ht="20.100000000000001" customHeight="1">
      <c r="A14" s="1217">
        <v>4</v>
      </c>
      <c r="B14" s="1218" t="s">
        <v>63</v>
      </c>
      <c r="C14" s="1219">
        <v>0</v>
      </c>
      <c r="D14" s="1219">
        <v>0</v>
      </c>
      <c r="E14" s="1219">
        <v>0</v>
      </c>
      <c r="F14" s="1224">
        <f t="shared" si="0"/>
        <v>0</v>
      </c>
      <c r="G14" s="1219">
        <v>0</v>
      </c>
      <c r="H14" s="1219">
        <v>1</v>
      </c>
      <c r="I14" s="1219">
        <v>0</v>
      </c>
      <c r="J14" s="1224">
        <f t="shared" si="4"/>
        <v>0</v>
      </c>
      <c r="K14" s="1224">
        <f t="shared" si="1"/>
        <v>1</v>
      </c>
      <c r="L14" s="1224">
        <f t="shared" si="1"/>
        <v>0</v>
      </c>
      <c r="M14" s="1224">
        <f t="shared" si="2"/>
        <v>1</v>
      </c>
      <c r="N14" s="1224">
        <f t="shared" si="3"/>
        <v>0</v>
      </c>
      <c r="O14" s="1677">
        <f t="shared" si="5"/>
        <v>0</v>
      </c>
      <c r="P14" s="1220">
        <v>9</v>
      </c>
      <c r="Q14" s="1221">
        <v>10</v>
      </c>
      <c r="R14" s="1225">
        <v>48</v>
      </c>
      <c r="S14" s="1576"/>
      <c r="T14" s="1237"/>
      <c r="U14" s="1237"/>
      <c r="V14" s="1575"/>
      <c r="W14" s="1202"/>
      <c r="BN14" s="1193"/>
      <c r="BO14" s="1193"/>
      <c r="BP14" s="1193"/>
    </row>
    <row r="15" spans="1:68" ht="20.100000000000001" customHeight="1">
      <c r="A15" s="1217">
        <v>5</v>
      </c>
      <c r="B15" s="1218" t="s">
        <v>47</v>
      </c>
      <c r="C15" s="1219">
        <v>1</v>
      </c>
      <c r="D15" s="1219">
        <v>0</v>
      </c>
      <c r="E15" s="1219">
        <v>0</v>
      </c>
      <c r="F15" s="1224">
        <f t="shared" si="0"/>
        <v>1</v>
      </c>
      <c r="G15" s="1219">
        <v>3</v>
      </c>
      <c r="H15" s="1219">
        <v>0</v>
      </c>
      <c r="I15" s="1219">
        <v>1</v>
      </c>
      <c r="J15" s="1224">
        <f t="shared" si="4"/>
        <v>1</v>
      </c>
      <c r="K15" s="1224">
        <f t="shared" si="1"/>
        <v>0</v>
      </c>
      <c r="L15" s="1224">
        <f t="shared" si="1"/>
        <v>1</v>
      </c>
      <c r="M15" s="1224">
        <f t="shared" si="2"/>
        <v>1</v>
      </c>
      <c r="N15" s="1224">
        <f t="shared" si="3"/>
        <v>0</v>
      </c>
      <c r="O15" s="1677">
        <f t="shared" si="5"/>
        <v>1</v>
      </c>
      <c r="P15" s="1220">
        <v>11</v>
      </c>
      <c r="Q15" s="1221">
        <v>12</v>
      </c>
      <c r="R15" s="1225">
        <v>49</v>
      </c>
      <c r="S15" s="1577"/>
      <c r="T15" s="1237"/>
      <c r="U15" s="1237"/>
      <c r="V15" s="1575"/>
      <c r="W15" s="1202"/>
      <c r="BN15" s="1193"/>
      <c r="BO15" s="1193"/>
      <c r="BP15" s="1193"/>
    </row>
    <row r="16" spans="1:68" ht="20.100000000000001" customHeight="1">
      <c r="A16" s="1217">
        <v>6</v>
      </c>
      <c r="B16" s="1218" t="s">
        <v>48</v>
      </c>
      <c r="C16" s="1219">
        <v>0</v>
      </c>
      <c r="D16" s="1219">
        <v>0</v>
      </c>
      <c r="E16" s="1219">
        <v>0</v>
      </c>
      <c r="F16" s="1224">
        <f t="shared" si="0"/>
        <v>0</v>
      </c>
      <c r="G16" s="1219">
        <v>0</v>
      </c>
      <c r="H16" s="1219">
        <v>1</v>
      </c>
      <c r="I16" s="1219">
        <v>1</v>
      </c>
      <c r="J16" s="1224">
        <f t="shared" si="4"/>
        <v>0</v>
      </c>
      <c r="K16" s="1224">
        <f t="shared" si="1"/>
        <v>1</v>
      </c>
      <c r="L16" s="1224">
        <f t="shared" si="1"/>
        <v>0</v>
      </c>
      <c r="M16" s="1224">
        <f t="shared" si="2"/>
        <v>1</v>
      </c>
      <c r="N16" s="1224">
        <f t="shared" si="3"/>
        <v>0</v>
      </c>
      <c r="O16" s="1677">
        <f t="shared" si="5"/>
        <v>0</v>
      </c>
      <c r="P16" s="1220">
        <v>13</v>
      </c>
      <c r="Q16" s="1221">
        <v>14</v>
      </c>
      <c r="R16" s="1225">
        <v>50</v>
      </c>
      <c r="S16" s="1578"/>
      <c r="T16" s="1237"/>
      <c r="U16" s="1237"/>
      <c r="V16" s="1575"/>
      <c r="W16" s="1202"/>
      <c r="BN16" s="1193"/>
      <c r="BO16" s="1193"/>
      <c r="BP16" s="1193"/>
    </row>
    <row r="17" spans="1:68" ht="20.100000000000001" customHeight="1">
      <c r="A17" s="1217">
        <v>7</v>
      </c>
      <c r="B17" s="1218" t="s">
        <v>49</v>
      </c>
      <c r="C17" s="1219">
        <v>0</v>
      </c>
      <c r="D17" s="1219">
        <v>0</v>
      </c>
      <c r="E17" s="1219">
        <v>0</v>
      </c>
      <c r="F17" s="1224">
        <f t="shared" si="0"/>
        <v>0</v>
      </c>
      <c r="G17" s="1219">
        <v>0</v>
      </c>
      <c r="H17" s="1219">
        <v>0</v>
      </c>
      <c r="I17" s="1219">
        <v>0</v>
      </c>
      <c r="J17" s="1224">
        <f t="shared" si="4"/>
        <v>1</v>
      </c>
      <c r="K17" s="1224">
        <f t="shared" si="1"/>
        <v>1</v>
      </c>
      <c r="L17" s="1224">
        <f t="shared" si="1"/>
        <v>1</v>
      </c>
      <c r="M17" s="1224">
        <f t="shared" si="2"/>
        <v>1</v>
      </c>
      <c r="N17" s="1224">
        <f t="shared" si="3"/>
        <v>0</v>
      </c>
      <c r="O17" s="1677">
        <f t="shared" si="5"/>
        <v>0</v>
      </c>
      <c r="P17" s="1220">
        <v>15</v>
      </c>
      <c r="Q17" s="1221">
        <v>16</v>
      </c>
      <c r="R17" s="1225">
        <v>51</v>
      </c>
      <c r="S17" s="1578"/>
      <c r="T17" s="1237"/>
      <c r="U17" s="1237"/>
      <c r="V17" s="1575"/>
      <c r="W17" s="1202"/>
      <c r="BN17" s="1193"/>
      <c r="BO17" s="1193"/>
      <c r="BP17" s="1193"/>
    </row>
    <row r="18" spans="1:68" ht="20.100000000000001" customHeight="1">
      <c r="A18" s="1217">
        <v>8</v>
      </c>
      <c r="B18" s="1218" t="s">
        <v>50</v>
      </c>
      <c r="C18" s="1219">
        <v>1</v>
      </c>
      <c r="D18" s="1219">
        <v>0</v>
      </c>
      <c r="E18" s="1219">
        <v>1</v>
      </c>
      <c r="F18" s="1224">
        <f t="shared" si="0"/>
        <v>1</v>
      </c>
      <c r="G18" s="1219">
        <v>1</v>
      </c>
      <c r="H18" s="1219">
        <v>0</v>
      </c>
      <c r="I18" s="1219">
        <v>1</v>
      </c>
      <c r="J18" s="1224">
        <f t="shared" si="4"/>
        <v>1</v>
      </c>
      <c r="K18" s="1224">
        <f t="shared" si="1"/>
        <v>1</v>
      </c>
      <c r="L18" s="1224">
        <f t="shared" si="1"/>
        <v>1</v>
      </c>
      <c r="M18" s="1224">
        <f t="shared" si="2"/>
        <v>1</v>
      </c>
      <c r="N18" s="1224">
        <v>1</v>
      </c>
      <c r="O18" s="1677">
        <f t="shared" si="5"/>
        <v>0</v>
      </c>
      <c r="P18" s="1220">
        <v>17</v>
      </c>
      <c r="Q18" s="1221">
        <v>18</v>
      </c>
      <c r="R18" s="1225">
        <v>52</v>
      </c>
      <c r="S18" s="1578"/>
      <c r="T18" s="1237"/>
      <c r="U18" s="1237"/>
      <c r="V18" s="1575"/>
      <c r="W18" s="1202"/>
      <c r="BN18" s="1193"/>
      <c r="BO18" s="1193"/>
      <c r="BP18" s="1193"/>
    </row>
    <row r="19" spans="1:68" ht="20.100000000000001" customHeight="1">
      <c r="A19" s="1217">
        <v>9</v>
      </c>
      <c r="B19" s="1218" t="s">
        <v>51</v>
      </c>
      <c r="C19" s="1219">
        <v>0</v>
      </c>
      <c r="D19" s="1219">
        <v>0</v>
      </c>
      <c r="E19" s="1219">
        <v>0</v>
      </c>
      <c r="F19" s="1224">
        <f t="shared" si="0"/>
        <v>0</v>
      </c>
      <c r="G19" s="1219">
        <v>0</v>
      </c>
      <c r="H19" s="1219">
        <v>0</v>
      </c>
      <c r="I19" s="1219">
        <v>0</v>
      </c>
      <c r="J19" s="1224">
        <f t="shared" si="4"/>
        <v>1</v>
      </c>
      <c r="K19" s="1224">
        <f t="shared" si="1"/>
        <v>1</v>
      </c>
      <c r="L19" s="1224">
        <f t="shared" si="1"/>
        <v>1</v>
      </c>
      <c r="M19" s="1224">
        <f t="shared" si="2"/>
        <v>1</v>
      </c>
      <c r="N19" s="1224">
        <f t="shared" si="3"/>
        <v>0</v>
      </c>
      <c r="O19" s="1677">
        <f t="shared" si="5"/>
        <v>0</v>
      </c>
      <c r="P19" s="1220">
        <v>19</v>
      </c>
      <c r="Q19" s="1221">
        <v>20</v>
      </c>
      <c r="R19" s="1225">
        <v>53</v>
      </c>
      <c r="S19" s="1576"/>
      <c r="T19" s="1237"/>
      <c r="U19" s="1237"/>
      <c r="V19" s="1575"/>
      <c r="W19" s="1202"/>
      <c r="BN19" s="1193"/>
      <c r="BO19" s="1193"/>
      <c r="BP19" s="1193"/>
    </row>
    <row r="20" spans="1:68" ht="20.100000000000001" customHeight="1">
      <c r="A20" s="1217">
        <v>10</v>
      </c>
      <c r="B20" s="1218" t="s">
        <v>98</v>
      </c>
      <c r="C20" s="1219">
        <v>1</v>
      </c>
      <c r="D20" s="1219">
        <v>0</v>
      </c>
      <c r="E20" s="1219">
        <v>0</v>
      </c>
      <c r="F20" s="1224">
        <f t="shared" si="0"/>
        <v>1</v>
      </c>
      <c r="G20" s="1219">
        <v>0</v>
      </c>
      <c r="H20" s="1219">
        <v>0</v>
      </c>
      <c r="I20" s="1219">
        <v>0</v>
      </c>
      <c r="J20" s="1224">
        <f t="shared" si="4"/>
        <v>0</v>
      </c>
      <c r="K20" s="1224">
        <f t="shared" si="1"/>
        <v>0</v>
      </c>
      <c r="L20" s="1224">
        <f t="shared" si="1"/>
        <v>0</v>
      </c>
      <c r="M20" s="1224">
        <f t="shared" si="2"/>
        <v>0</v>
      </c>
      <c r="N20" s="1224">
        <f t="shared" si="3"/>
        <v>0</v>
      </c>
      <c r="O20" s="1677">
        <f t="shared" si="5"/>
        <v>1</v>
      </c>
      <c r="P20" s="1220">
        <v>21</v>
      </c>
      <c r="Q20" s="1221">
        <v>22</v>
      </c>
      <c r="R20" s="1225">
        <v>54</v>
      </c>
      <c r="S20" s="1576"/>
      <c r="T20" s="1237"/>
      <c r="U20" s="1237"/>
      <c r="V20" s="1575"/>
      <c r="W20" s="1202"/>
      <c r="BN20" s="1193"/>
      <c r="BO20" s="1193"/>
      <c r="BP20" s="1193"/>
    </row>
    <row r="21" spans="1:68" ht="20.100000000000001" customHeight="1">
      <c r="A21" s="1217">
        <v>11</v>
      </c>
      <c r="B21" s="1218" t="s">
        <v>99</v>
      </c>
      <c r="C21" s="1219">
        <v>0</v>
      </c>
      <c r="D21" s="1219">
        <v>0</v>
      </c>
      <c r="E21" s="1219">
        <v>0</v>
      </c>
      <c r="F21" s="1224">
        <f t="shared" si="0"/>
        <v>0</v>
      </c>
      <c r="G21" s="1219">
        <v>0</v>
      </c>
      <c r="H21" s="1219">
        <v>0</v>
      </c>
      <c r="I21" s="1219">
        <v>0</v>
      </c>
      <c r="J21" s="1224">
        <f t="shared" si="4"/>
        <v>0</v>
      </c>
      <c r="K21" s="1224">
        <f t="shared" si="1"/>
        <v>1</v>
      </c>
      <c r="L21" s="1224">
        <f t="shared" si="1"/>
        <v>1</v>
      </c>
      <c r="M21" s="1224">
        <f t="shared" si="2"/>
        <v>1</v>
      </c>
      <c r="N21" s="1224">
        <f t="shared" si="3"/>
        <v>0</v>
      </c>
      <c r="O21" s="1677">
        <f t="shared" si="5"/>
        <v>0</v>
      </c>
      <c r="P21" s="1220">
        <v>23</v>
      </c>
      <c r="Q21" s="1221">
        <v>24</v>
      </c>
      <c r="R21" s="1225">
        <v>55</v>
      </c>
      <c r="S21" s="1576"/>
      <c r="T21" s="1237"/>
      <c r="U21" s="1237"/>
      <c r="V21" s="1575"/>
      <c r="W21" s="1202"/>
      <c r="BN21" s="1193"/>
      <c r="BO21" s="1193"/>
      <c r="BP21" s="1193"/>
    </row>
    <row r="22" spans="1:68" ht="20.100000000000001" customHeight="1">
      <c r="A22" s="1217">
        <v>12</v>
      </c>
      <c r="B22" s="1218" t="s">
        <v>58</v>
      </c>
      <c r="C22" s="1219">
        <v>0</v>
      </c>
      <c r="D22" s="1219">
        <v>0</v>
      </c>
      <c r="E22" s="1219">
        <v>0</v>
      </c>
      <c r="F22" s="1224">
        <f t="shared" si="0"/>
        <v>0</v>
      </c>
      <c r="G22" s="1219">
        <v>0</v>
      </c>
      <c r="H22" s="1219">
        <v>0</v>
      </c>
      <c r="I22" s="1219">
        <v>1</v>
      </c>
      <c r="J22" s="1224">
        <f t="shared" si="4"/>
        <v>0</v>
      </c>
      <c r="K22" s="1224">
        <f t="shared" si="1"/>
        <v>1</v>
      </c>
      <c r="L22" s="1224">
        <f t="shared" si="1"/>
        <v>0</v>
      </c>
      <c r="M22" s="1224">
        <f t="shared" si="2"/>
        <v>1</v>
      </c>
      <c r="N22" s="1224">
        <f t="shared" si="3"/>
        <v>1</v>
      </c>
      <c r="O22" s="1677">
        <f t="shared" si="5"/>
        <v>0</v>
      </c>
      <c r="P22" s="1220">
        <v>25</v>
      </c>
      <c r="Q22" s="1221">
        <v>26</v>
      </c>
      <c r="R22" s="1225">
        <v>56</v>
      </c>
      <c r="S22" s="1576"/>
      <c r="T22" s="1237"/>
      <c r="U22" s="1237"/>
      <c r="V22" s="1575"/>
      <c r="W22" s="1202"/>
      <c r="BN22" s="1193"/>
      <c r="BO22" s="1193"/>
      <c r="BP22" s="1193"/>
    </row>
    <row r="23" spans="1:68" ht="20.100000000000001" customHeight="1">
      <c r="A23" s="1217">
        <v>13</v>
      </c>
      <c r="B23" s="1218" t="s">
        <v>52</v>
      </c>
      <c r="C23" s="1219">
        <v>0</v>
      </c>
      <c r="D23" s="1219">
        <v>0</v>
      </c>
      <c r="E23" s="1219">
        <v>0</v>
      </c>
      <c r="F23" s="1224">
        <f t="shared" si="0"/>
        <v>0</v>
      </c>
      <c r="G23" s="1219">
        <v>0</v>
      </c>
      <c r="H23" s="1219">
        <v>1</v>
      </c>
      <c r="I23" s="1219">
        <v>1</v>
      </c>
      <c r="J23" s="1224">
        <f t="shared" si="4"/>
        <v>0</v>
      </c>
      <c r="K23" s="1224">
        <f t="shared" si="1"/>
        <v>1</v>
      </c>
      <c r="L23" s="1224">
        <f t="shared" si="1"/>
        <v>1</v>
      </c>
      <c r="M23" s="1224">
        <f t="shared" si="2"/>
        <v>1</v>
      </c>
      <c r="N23" s="1224">
        <f t="shared" si="3"/>
        <v>0</v>
      </c>
      <c r="O23" s="1677">
        <f t="shared" si="5"/>
        <v>0</v>
      </c>
      <c r="P23" s="1220">
        <v>27</v>
      </c>
      <c r="Q23" s="1221">
        <v>28</v>
      </c>
      <c r="R23" s="1225">
        <v>57</v>
      </c>
      <c r="S23" s="1576"/>
      <c r="T23" s="1237"/>
      <c r="U23" s="1237"/>
      <c r="V23" s="1575"/>
      <c r="W23" s="1202"/>
      <c r="BN23" s="1193"/>
      <c r="BO23" s="1193"/>
      <c r="BP23" s="1193"/>
    </row>
    <row r="24" spans="1:68" ht="20.100000000000001" customHeight="1">
      <c r="A24" s="1217">
        <v>14</v>
      </c>
      <c r="B24" s="1104" t="s">
        <v>100</v>
      </c>
      <c r="C24" s="1219">
        <v>1</v>
      </c>
      <c r="D24" s="1219">
        <v>0</v>
      </c>
      <c r="E24" s="1219">
        <v>0</v>
      </c>
      <c r="F24" s="1224">
        <f t="shared" si="0"/>
        <v>0</v>
      </c>
      <c r="G24" s="1219">
        <v>0</v>
      </c>
      <c r="H24" s="1219">
        <v>0</v>
      </c>
      <c r="I24" s="1219">
        <v>0</v>
      </c>
      <c r="J24" s="1224">
        <f t="shared" si="4"/>
        <v>1</v>
      </c>
      <c r="K24" s="1224">
        <f t="shared" si="1"/>
        <v>0</v>
      </c>
      <c r="L24" s="1224">
        <f t="shared" si="1"/>
        <v>0</v>
      </c>
      <c r="M24" s="1224">
        <f t="shared" si="2"/>
        <v>1</v>
      </c>
      <c r="N24" s="1224">
        <f t="shared" si="3"/>
        <v>0</v>
      </c>
      <c r="O24" s="1677">
        <f t="shared" si="5"/>
        <v>0</v>
      </c>
      <c r="P24" s="1220">
        <v>29</v>
      </c>
      <c r="Q24" s="1221">
        <v>30</v>
      </c>
      <c r="R24" s="1225">
        <v>58</v>
      </c>
      <c r="S24" s="1576"/>
      <c r="T24" s="1237"/>
      <c r="U24" s="1237"/>
      <c r="V24" s="1575"/>
      <c r="W24" s="1202"/>
      <c r="BN24" s="1193"/>
      <c r="BO24" s="1193"/>
      <c r="BP24" s="1193"/>
    </row>
    <row r="25" spans="1:68" ht="20.100000000000001" customHeight="1">
      <c r="A25" s="1217">
        <v>15</v>
      </c>
      <c r="B25" s="1226" t="s">
        <v>174</v>
      </c>
      <c r="C25" s="1219">
        <v>0</v>
      </c>
      <c r="D25" s="1219">
        <v>0</v>
      </c>
      <c r="E25" s="1219">
        <v>0</v>
      </c>
      <c r="F25" s="1224">
        <f t="shared" si="0"/>
        <v>0</v>
      </c>
      <c r="G25" s="1219">
        <v>0</v>
      </c>
      <c r="H25" s="1219">
        <v>0</v>
      </c>
      <c r="I25" s="1219">
        <v>0</v>
      </c>
      <c r="J25" s="1224">
        <f t="shared" si="4"/>
        <v>0</v>
      </c>
      <c r="K25" s="1224">
        <f t="shared" si="1"/>
        <v>1</v>
      </c>
      <c r="L25" s="1224">
        <f t="shared" si="1"/>
        <v>0</v>
      </c>
      <c r="M25" s="1224">
        <f t="shared" si="2"/>
        <v>1</v>
      </c>
      <c r="N25" s="1224">
        <f t="shared" si="3"/>
        <v>0</v>
      </c>
      <c r="O25" s="1677">
        <f t="shared" si="5"/>
        <v>1</v>
      </c>
      <c r="P25" s="1220">
        <v>31</v>
      </c>
      <c r="Q25" s="1221">
        <v>32</v>
      </c>
      <c r="R25" s="1225">
        <v>59</v>
      </c>
      <c r="S25" s="1576"/>
      <c r="T25" s="1237"/>
      <c r="U25" s="1237"/>
      <c r="V25" s="1575"/>
      <c r="W25" s="1202"/>
      <c r="BN25" s="1193"/>
      <c r="BO25" s="1193"/>
      <c r="BP25" s="1193"/>
    </row>
    <row r="26" spans="1:68" ht="20.100000000000001" customHeight="1">
      <c r="A26" s="1217">
        <v>16</v>
      </c>
      <c r="B26" s="1218" t="s">
        <v>53</v>
      </c>
      <c r="C26" s="1219">
        <v>0</v>
      </c>
      <c r="D26" s="1219">
        <v>0</v>
      </c>
      <c r="E26" s="1219">
        <v>0</v>
      </c>
      <c r="F26" s="1224">
        <f t="shared" si="0"/>
        <v>0</v>
      </c>
      <c r="G26" s="1219">
        <v>4</v>
      </c>
      <c r="H26" s="1219">
        <v>0</v>
      </c>
      <c r="I26" s="1219">
        <v>0</v>
      </c>
      <c r="J26" s="1224">
        <f t="shared" si="4"/>
        <v>1</v>
      </c>
      <c r="K26" s="1224">
        <f t="shared" si="1"/>
        <v>0</v>
      </c>
      <c r="L26" s="1224">
        <f t="shared" si="1"/>
        <v>1</v>
      </c>
      <c r="M26" s="1224">
        <f t="shared" si="2"/>
        <v>1</v>
      </c>
      <c r="N26" s="1224">
        <f t="shared" si="3"/>
        <v>0</v>
      </c>
      <c r="O26" s="1677">
        <f t="shared" si="5"/>
        <v>0</v>
      </c>
      <c r="P26" s="1220">
        <v>33</v>
      </c>
      <c r="Q26" s="1221">
        <v>34</v>
      </c>
      <c r="R26" s="1225">
        <v>60</v>
      </c>
      <c r="S26" s="1576"/>
      <c r="T26" s="1237"/>
      <c r="U26" s="1237"/>
      <c r="V26" s="1575"/>
      <c r="W26" s="1202"/>
      <c r="BN26" s="1193"/>
      <c r="BO26" s="1193"/>
      <c r="BP26" s="1193"/>
    </row>
    <row r="27" spans="1:68" ht="20.100000000000001" customHeight="1">
      <c r="A27" s="1217">
        <v>17</v>
      </c>
      <c r="B27" s="1218" t="s">
        <v>54</v>
      </c>
      <c r="C27" s="1219">
        <v>1</v>
      </c>
      <c r="D27" s="1219">
        <v>1</v>
      </c>
      <c r="E27" s="1219">
        <v>0</v>
      </c>
      <c r="F27" s="1224">
        <f t="shared" si="0"/>
        <v>0</v>
      </c>
      <c r="G27" s="1219">
        <v>0</v>
      </c>
      <c r="H27" s="1219">
        <v>1</v>
      </c>
      <c r="I27" s="1219">
        <v>0</v>
      </c>
      <c r="J27" s="1224">
        <f t="shared" si="4"/>
        <v>1</v>
      </c>
      <c r="K27" s="1224">
        <f t="shared" si="4"/>
        <v>1</v>
      </c>
      <c r="L27" s="1224">
        <f t="shared" si="4"/>
        <v>0</v>
      </c>
      <c r="M27" s="1224">
        <f t="shared" si="2"/>
        <v>1</v>
      </c>
      <c r="N27" s="1224">
        <f t="shared" si="3"/>
        <v>0</v>
      </c>
      <c r="O27" s="1677">
        <f t="shared" si="5"/>
        <v>0</v>
      </c>
      <c r="P27" s="1220">
        <v>35</v>
      </c>
      <c r="Q27" s="1221">
        <v>36</v>
      </c>
      <c r="R27" s="1225">
        <v>61</v>
      </c>
      <c r="S27" s="1576"/>
      <c r="T27" s="1237"/>
      <c r="U27" s="1237"/>
      <c r="V27" s="1575"/>
      <c r="W27" s="1202"/>
      <c r="BN27" s="1193"/>
      <c r="BO27" s="1193"/>
      <c r="BP27" s="1193"/>
    </row>
    <row r="28" spans="1:68" ht="20.100000000000001" customHeight="1">
      <c r="A28" s="1217">
        <v>18</v>
      </c>
      <c r="B28" s="1218" t="s">
        <v>55</v>
      </c>
      <c r="C28" s="1219">
        <v>1</v>
      </c>
      <c r="D28" s="1219">
        <v>0</v>
      </c>
      <c r="E28" s="1219">
        <v>0</v>
      </c>
      <c r="F28" s="1224">
        <f t="shared" si="0"/>
        <v>1</v>
      </c>
      <c r="G28" s="1219">
        <v>0</v>
      </c>
      <c r="H28" s="1219">
        <v>0</v>
      </c>
      <c r="I28" s="1219">
        <v>0</v>
      </c>
      <c r="J28" s="1224">
        <f t="shared" ref="J28:L29" si="6">IF(C58&gt;0,1,0)</f>
        <v>1</v>
      </c>
      <c r="K28" s="1224">
        <f t="shared" si="6"/>
        <v>1</v>
      </c>
      <c r="L28" s="1224">
        <f t="shared" si="6"/>
        <v>1</v>
      </c>
      <c r="M28" s="1224">
        <f t="shared" si="2"/>
        <v>1</v>
      </c>
      <c r="N28" s="1224">
        <f t="shared" si="3"/>
        <v>0</v>
      </c>
      <c r="O28" s="1677">
        <f t="shared" si="5"/>
        <v>0</v>
      </c>
      <c r="P28" s="1220">
        <v>37</v>
      </c>
      <c r="Q28" s="1221">
        <v>38</v>
      </c>
      <c r="R28" s="1225">
        <v>62</v>
      </c>
      <c r="S28" s="1576"/>
      <c r="T28" s="1237"/>
      <c r="U28" s="1237"/>
      <c r="V28" s="1575"/>
      <c r="W28" s="1202"/>
      <c r="BN28" s="1193"/>
      <c r="BO28" s="1193"/>
      <c r="BP28" s="1193"/>
    </row>
    <row r="29" spans="1:68" ht="20.100000000000001" customHeight="1">
      <c r="A29" s="1217">
        <v>19</v>
      </c>
      <c r="B29" s="1218" t="s">
        <v>59</v>
      </c>
      <c r="C29" s="1219">
        <v>1</v>
      </c>
      <c r="D29" s="1219">
        <v>0</v>
      </c>
      <c r="E29" s="1219">
        <v>0</v>
      </c>
      <c r="F29" s="1224">
        <f t="shared" si="0"/>
        <v>1</v>
      </c>
      <c r="G29" s="1219">
        <v>0</v>
      </c>
      <c r="H29" s="1219">
        <v>1</v>
      </c>
      <c r="I29" s="1219">
        <v>0</v>
      </c>
      <c r="J29" s="1224">
        <f t="shared" si="6"/>
        <v>0</v>
      </c>
      <c r="K29" s="1224">
        <f t="shared" si="6"/>
        <v>1</v>
      </c>
      <c r="L29" s="1224">
        <f t="shared" si="6"/>
        <v>0</v>
      </c>
      <c r="M29" s="1224">
        <f t="shared" si="2"/>
        <v>1</v>
      </c>
      <c r="N29" s="1224">
        <f t="shared" si="3"/>
        <v>0</v>
      </c>
      <c r="O29" s="1677">
        <f t="shared" si="5"/>
        <v>0</v>
      </c>
      <c r="P29" s="1220">
        <v>39</v>
      </c>
      <c r="Q29" s="1221">
        <v>40</v>
      </c>
      <c r="R29" s="1225">
        <v>63</v>
      </c>
      <c r="S29" s="1576"/>
      <c r="T29" s="1237"/>
      <c r="U29" s="1237"/>
      <c r="V29" s="1575"/>
      <c r="BN29" s="1193"/>
      <c r="BO29" s="1193"/>
      <c r="BP29" s="1193"/>
    </row>
    <row r="30" spans="1:68" ht="24.95" customHeight="1" thickBot="1">
      <c r="A30" s="1227">
        <v>21</v>
      </c>
      <c r="B30" s="1228" t="s">
        <v>207</v>
      </c>
      <c r="C30" s="1574"/>
      <c r="D30" s="1229"/>
      <c r="E30" s="1229"/>
      <c r="F30" s="1230"/>
      <c r="G30" s="1229"/>
      <c r="H30" s="1229"/>
      <c r="I30" s="1229"/>
      <c r="J30" s="1230"/>
      <c r="K30" s="1230"/>
      <c r="L30" s="1230"/>
      <c r="M30" s="1230"/>
      <c r="N30" s="1231"/>
      <c r="O30" s="1678"/>
      <c r="P30" s="1232">
        <v>43</v>
      </c>
      <c r="Q30" s="1233">
        <v>44</v>
      </c>
      <c r="R30" s="1234">
        <v>65</v>
      </c>
      <c r="S30" s="1223"/>
      <c r="T30" s="1198"/>
      <c r="U30" s="1202"/>
      <c r="V30" s="1202"/>
      <c r="W30" s="1202"/>
      <c r="BN30" s="1193"/>
      <c r="BO30" s="1193"/>
      <c r="BP30" s="1193"/>
    </row>
    <row r="31" spans="1:68" ht="18" customHeight="1">
      <c r="BN31" s="1193"/>
      <c r="BO31" s="1193"/>
      <c r="BP31" s="1193"/>
    </row>
    <row r="32" spans="1:68" ht="20.100000000000001" customHeight="1">
      <c r="A32" s="1235" t="s">
        <v>442</v>
      </c>
      <c r="BN32" s="1193"/>
      <c r="BO32" s="1193"/>
      <c r="BP32" s="1193"/>
    </row>
    <row r="34" spans="1:68" ht="20.100000000000001" customHeight="1">
      <c r="A34" s="1204" t="s">
        <v>317</v>
      </c>
      <c r="BN34" s="1193"/>
      <c r="BO34" s="1193"/>
      <c r="BP34" s="1193"/>
    </row>
    <row r="35" spans="1:68" ht="20.100000000000001" customHeight="1">
      <c r="A35" s="1205">
        <v>1</v>
      </c>
      <c r="B35" s="1205">
        <v>2</v>
      </c>
      <c r="C35" s="1205">
        <v>3</v>
      </c>
      <c r="D35" s="1205">
        <v>4</v>
      </c>
      <c r="E35" s="1205">
        <v>5</v>
      </c>
      <c r="F35" s="1205">
        <v>6</v>
      </c>
      <c r="G35" s="1205">
        <v>7</v>
      </c>
      <c r="H35" s="1205">
        <v>8</v>
      </c>
      <c r="I35" s="1205">
        <v>9</v>
      </c>
      <c r="J35" s="1205">
        <v>10</v>
      </c>
      <c r="K35" s="1205">
        <v>11</v>
      </c>
      <c r="L35" s="1205">
        <v>12</v>
      </c>
      <c r="M35" s="1205">
        <v>13</v>
      </c>
      <c r="N35" s="1205">
        <v>14</v>
      </c>
      <c r="O35" s="1205">
        <v>15</v>
      </c>
      <c r="P35" s="1205">
        <v>16</v>
      </c>
      <c r="Q35" s="1205">
        <v>17</v>
      </c>
      <c r="R35" s="1205">
        <v>18</v>
      </c>
      <c r="S35" s="1205">
        <v>19</v>
      </c>
      <c r="T35" s="1205">
        <v>20</v>
      </c>
      <c r="U35" s="1205">
        <v>21</v>
      </c>
      <c r="V35" s="1205">
        <v>22</v>
      </c>
      <c r="W35" s="1205">
        <v>23</v>
      </c>
      <c r="X35" s="1205">
        <v>24</v>
      </c>
      <c r="Y35" s="1205">
        <v>25</v>
      </c>
      <c r="Z35" s="1205">
        <v>26</v>
      </c>
      <c r="AA35" s="1205">
        <v>27</v>
      </c>
      <c r="AB35" s="1205">
        <v>28</v>
      </c>
      <c r="AC35" s="1205">
        <v>29</v>
      </c>
      <c r="AD35" s="1205">
        <v>30</v>
      </c>
      <c r="AE35" s="1205">
        <v>31</v>
      </c>
      <c r="AF35" s="1205">
        <v>32</v>
      </c>
      <c r="AG35" s="1205">
        <v>33</v>
      </c>
      <c r="AH35" s="1205">
        <v>34</v>
      </c>
      <c r="AI35" s="1205">
        <v>35</v>
      </c>
      <c r="AJ35" s="1205">
        <v>36</v>
      </c>
      <c r="AK35" s="1205">
        <v>37</v>
      </c>
      <c r="AL35" s="1205">
        <v>38</v>
      </c>
      <c r="AM35" s="1205">
        <v>39</v>
      </c>
      <c r="AN35" s="1205">
        <v>40</v>
      </c>
      <c r="AO35" s="1223"/>
      <c r="AP35" s="1223"/>
      <c r="AQ35" s="1223"/>
      <c r="AR35" s="1223"/>
      <c r="AS35" s="1223"/>
      <c r="AT35" s="1223"/>
      <c r="AU35" s="1223"/>
      <c r="AV35" s="1223"/>
      <c r="AW35" s="1223"/>
      <c r="AX35" s="1223"/>
      <c r="AY35" s="1223"/>
      <c r="AZ35" s="1223"/>
      <c r="BA35" s="1223"/>
      <c r="BB35" s="1223"/>
      <c r="BN35" s="1193"/>
      <c r="BO35" s="1193"/>
      <c r="BP35" s="1193"/>
    </row>
    <row r="36" spans="1:68" ht="15.75" thickBot="1">
      <c r="BN36" s="1193"/>
      <c r="BO36" s="1193"/>
      <c r="BP36" s="1193"/>
    </row>
    <row r="37" spans="1:68" ht="39.950000000000003" customHeight="1">
      <c r="A37" s="1206"/>
      <c r="B37" s="1236"/>
      <c r="C37" s="1930" t="s">
        <v>318</v>
      </c>
      <c r="D37" s="1931"/>
      <c r="E37" s="1931"/>
      <c r="F37" s="1936"/>
      <c r="G37" s="1937" t="s">
        <v>319</v>
      </c>
      <c r="H37" s="1938"/>
      <c r="I37" s="1933" t="s">
        <v>400</v>
      </c>
      <c r="J37" s="1934"/>
      <c r="K37" s="1935"/>
      <c r="L37" s="1946" t="s">
        <v>320</v>
      </c>
      <c r="M37" s="1938"/>
      <c r="N37" s="1947"/>
      <c r="O37" s="1930" t="s">
        <v>321</v>
      </c>
      <c r="P37" s="1931"/>
      <c r="Q37" s="1931"/>
      <c r="R37" s="1931"/>
      <c r="S37" s="1931"/>
      <c r="T37" s="1931"/>
      <c r="U37" s="1931"/>
      <c r="V37" s="1931"/>
      <c r="W37" s="1931"/>
      <c r="X37" s="1931"/>
      <c r="Y37" s="1931"/>
      <c r="Z37" s="1932"/>
      <c r="AA37" s="1930" t="s">
        <v>322</v>
      </c>
      <c r="AB37" s="1931"/>
      <c r="AC37" s="1931"/>
      <c r="AD37" s="1931"/>
      <c r="AE37" s="1931"/>
      <c r="AF37" s="1931"/>
      <c r="AG37" s="1931"/>
      <c r="AH37" s="1932"/>
      <c r="AI37" s="1941" t="s">
        <v>443</v>
      </c>
      <c r="AJ37" s="1942"/>
      <c r="AK37" s="1942"/>
      <c r="AL37" s="1942"/>
      <c r="AM37" s="1943"/>
      <c r="AN37" s="1944" t="s">
        <v>444</v>
      </c>
      <c r="BC37" s="1237"/>
      <c r="BD37" s="1145"/>
      <c r="BE37" s="1145"/>
      <c r="BF37" s="1145"/>
      <c r="BG37" s="1145"/>
      <c r="BH37" s="1238"/>
      <c r="BI37" s="1238"/>
      <c r="BJ37" s="1238"/>
      <c r="BK37" s="1238"/>
      <c r="BL37" s="1151"/>
      <c r="BM37" s="1151"/>
      <c r="BN37" s="1193"/>
      <c r="BO37" s="1193"/>
      <c r="BP37" s="1193"/>
    </row>
    <row r="38" spans="1:68" ht="90" customHeight="1">
      <c r="A38" s="1239" t="s">
        <v>102</v>
      </c>
      <c r="B38" s="1240"/>
      <c r="C38" s="1089" t="s">
        <v>165</v>
      </c>
      <c r="D38" s="1241" t="s">
        <v>166</v>
      </c>
      <c r="E38" s="1088" t="s">
        <v>167</v>
      </c>
      <c r="F38" s="1087" t="s">
        <v>163</v>
      </c>
      <c r="G38" s="1242" t="s">
        <v>168</v>
      </c>
      <c r="H38" s="1642" t="s">
        <v>164</v>
      </c>
      <c r="I38" s="1650" t="s">
        <v>401</v>
      </c>
      <c r="J38" s="1248" t="s">
        <v>402</v>
      </c>
      <c r="K38" s="1243" t="s">
        <v>403</v>
      </c>
      <c r="L38" s="1647" t="s">
        <v>323</v>
      </c>
      <c r="M38" s="464" t="s">
        <v>324</v>
      </c>
      <c r="N38" s="1243" t="s">
        <v>2</v>
      </c>
      <c r="O38" s="1244" t="s">
        <v>103</v>
      </c>
      <c r="P38" s="1088" t="s">
        <v>104</v>
      </c>
      <c r="Q38" s="1089" t="s">
        <v>205</v>
      </c>
      <c r="R38" s="1088" t="s">
        <v>206</v>
      </c>
      <c r="S38" s="1241" t="s">
        <v>105</v>
      </c>
      <c r="T38" s="1241" t="s">
        <v>106</v>
      </c>
      <c r="U38" s="1241" t="s">
        <v>107</v>
      </c>
      <c r="V38" s="1241" t="s">
        <v>108</v>
      </c>
      <c r="W38" s="1241" t="s">
        <v>109</v>
      </c>
      <c r="X38" s="1241" t="s">
        <v>110</v>
      </c>
      <c r="Y38" s="1241" t="s">
        <v>229</v>
      </c>
      <c r="Z38" s="1245" t="s">
        <v>2</v>
      </c>
      <c r="AA38" s="1246" t="s">
        <v>103</v>
      </c>
      <c r="AB38" s="1247" t="s">
        <v>104</v>
      </c>
      <c r="AC38" s="1248" t="s">
        <v>325</v>
      </c>
      <c r="AD38" s="1247" t="s">
        <v>105</v>
      </c>
      <c r="AE38" s="1247" t="s">
        <v>109</v>
      </c>
      <c r="AF38" s="1247" t="s">
        <v>110</v>
      </c>
      <c r="AG38" s="1247" t="s">
        <v>228</v>
      </c>
      <c r="AH38" s="1245" t="s">
        <v>2</v>
      </c>
      <c r="AI38" s="1249" t="s">
        <v>118</v>
      </c>
      <c r="AJ38" s="1250" t="s">
        <v>119</v>
      </c>
      <c r="AK38" s="1251" t="s">
        <v>169</v>
      </c>
      <c r="AL38" s="1251" t="s">
        <v>170</v>
      </c>
      <c r="AM38" s="1252" t="s">
        <v>171</v>
      </c>
      <c r="AN38" s="1945"/>
      <c r="BC38" s="1151"/>
      <c r="BD38" s="1145"/>
      <c r="BE38" s="1145"/>
      <c r="BF38" s="1145"/>
      <c r="BG38" s="1145"/>
      <c r="BH38" s="1238"/>
      <c r="BI38" s="1238"/>
      <c r="BJ38" s="1238"/>
      <c r="BK38" s="1238"/>
      <c r="BL38" s="1145"/>
      <c r="BM38" s="1145"/>
      <c r="BN38" s="1145"/>
      <c r="BO38" s="1145"/>
      <c r="BP38" s="1237"/>
    </row>
    <row r="39" spans="1:68" ht="24.95" customHeight="1">
      <c r="A39" s="1953" t="s">
        <v>187</v>
      </c>
      <c r="B39" s="1253" t="s">
        <v>130</v>
      </c>
      <c r="C39" s="1254" t="s">
        <v>18</v>
      </c>
      <c r="D39" s="1090" t="s">
        <v>18</v>
      </c>
      <c r="E39" s="1090" t="s">
        <v>18</v>
      </c>
      <c r="F39" s="1090" t="s">
        <v>18</v>
      </c>
      <c r="G39" s="1090" t="s">
        <v>18</v>
      </c>
      <c r="H39" s="1643" t="s">
        <v>18</v>
      </c>
      <c r="I39" s="1254" t="s">
        <v>18</v>
      </c>
      <c r="J39" s="1090" t="s">
        <v>18</v>
      </c>
      <c r="K39" s="1153" t="s">
        <v>18</v>
      </c>
      <c r="L39" s="1648" t="s">
        <v>18</v>
      </c>
      <c r="M39" s="1090" t="s">
        <v>18</v>
      </c>
      <c r="N39" s="1153" t="s">
        <v>18</v>
      </c>
      <c r="O39" s="1091" t="s">
        <v>18</v>
      </c>
      <c r="P39" s="1092" t="s">
        <v>18</v>
      </c>
      <c r="Q39" s="1255" t="s">
        <v>18</v>
      </c>
      <c r="R39" s="1092" t="s">
        <v>18</v>
      </c>
      <c r="S39" s="1256" t="s">
        <v>18</v>
      </c>
      <c r="T39" s="1256" t="s">
        <v>18</v>
      </c>
      <c r="U39" s="1256" t="s">
        <v>18</v>
      </c>
      <c r="V39" s="1256" t="s">
        <v>18</v>
      </c>
      <c r="W39" s="1256" t="s">
        <v>18</v>
      </c>
      <c r="X39" s="1256" t="s">
        <v>18</v>
      </c>
      <c r="Y39" s="1256" t="s">
        <v>18</v>
      </c>
      <c r="Z39" s="1093" t="s">
        <v>18</v>
      </c>
      <c r="AA39" s="1257" t="s">
        <v>18</v>
      </c>
      <c r="AB39" s="1092" t="s">
        <v>18</v>
      </c>
      <c r="AC39" s="1092" t="s">
        <v>18</v>
      </c>
      <c r="AD39" s="1092" t="s">
        <v>18</v>
      </c>
      <c r="AE39" s="1092" t="s">
        <v>18</v>
      </c>
      <c r="AF39" s="1092" t="s">
        <v>18</v>
      </c>
      <c r="AG39" s="1092" t="s">
        <v>18</v>
      </c>
      <c r="AH39" s="1093" t="s">
        <v>18</v>
      </c>
      <c r="AI39" s="1259" t="s">
        <v>18</v>
      </c>
      <c r="AJ39" s="1260" t="s">
        <v>18</v>
      </c>
      <c r="AK39" s="1260" t="s">
        <v>18</v>
      </c>
      <c r="AL39" s="1260" t="s">
        <v>18</v>
      </c>
      <c r="AM39" s="1261" t="s">
        <v>18</v>
      </c>
      <c r="AN39" s="1262" t="s">
        <v>18</v>
      </c>
      <c r="BC39" s="1145"/>
      <c r="BD39" s="1145"/>
      <c r="BE39" s="1145"/>
      <c r="BF39" s="1238"/>
      <c r="BG39" s="1237"/>
      <c r="BH39" s="1237"/>
      <c r="BI39" s="1155"/>
      <c r="BJ39" s="1155"/>
      <c r="BK39" s="1155"/>
      <c r="BL39" s="1155"/>
      <c r="BM39" s="1155"/>
      <c r="BN39" s="1237"/>
      <c r="BO39" s="1237"/>
      <c r="BP39" s="1237"/>
    </row>
    <row r="40" spans="1:68" ht="24.95" customHeight="1">
      <c r="A40" s="1954"/>
      <c r="B40" s="1263"/>
      <c r="C40" s="1264">
        <v>1</v>
      </c>
      <c r="D40" s="1136">
        <v>2</v>
      </c>
      <c r="E40" s="1135">
        <v>3</v>
      </c>
      <c r="F40" s="1265">
        <v>4</v>
      </c>
      <c r="G40" s="1136">
        <v>5</v>
      </c>
      <c r="H40" s="1135">
        <v>6</v>
      </c>
      <c r="I40" s="1264">
        <v>7</v>
      </c>
      <c r="J40" s="1136">
        <v>8</v>
      </c>
      <c r="K40" s="1135">
        <v>9</v>
      </c>
      <c r="L40" s="1264">
        <v>10</v>
      </c>
      <c r="M40" s="1136">
        <v>11</v>
      </c>
      <c r="N40" s="1140">
        <v>12</v>
      </c>
      <c r="O40" s="1264">
        <v>13</v>
      </c>
      <c r="P40" s="1136">
        <v>14</v>
      </c>
      <c r="Q40" s="1136">
        <v>15</v>
      </c>
      <c r="R40" s="1265">
        <v>16</v>
      </c>
      <c r="S40" s="1136">
        <v>17</v>
      </c>
      <c r="T40" s="1136">
        <v>18</v>
      </c>
      <c r="U40" s="1265">
        <v>19</v>
      </c>
      <c r="V40" s="1136">
        <v>20</v>
      </c>
      <c r="W40" s="1136">
        <v>21</v>
      </c>
      <c r="X40" s="1265">
        <v>22</v>
      </c>
      <c r="Y40" s="1136">
        <v>23</v>
      </c>
      <c r="Z40" s="1140">
        <v>24</v>
      </c>
      <c r="AA40" s="1264">
        <v>25</v>
      </c>
      <c r="AB40" s="1136">
        <v>26</v>
      </c>
      <c r="AC40" s="1136">
        <v>27</v>
      </c>
      <c r="AD40" s="1265">
        <v>28</v>
      </c>
      <c r="AE40" s="1136">
        <v>29</v>
      </c>
      <c r="AF40" s="1136">
        <v>30</v>
      </c>
      <c r="AG40" s="1265">
        <v>31</v>
      </c>
      <c r="AH40" s="1140">
        <v>32</v>
      </c>
      <c r="AI40" s="1156">
        <v>33</v>
      </c>
      <c r="AJ40" s="1265">
        <v>34</v>
      </c>
      <c r="AK40" s="1136">
        <v>35</v>
      </c>
      <c r="AL40" s="1136">
        <v>36</v>
      </c>
      <c r="AM40" s="1265">
        <v>37</v>
      </c>
      <c r="AN40" s="1140">
        <v>38</v>
      </c>
      <c r="BC40" s="1237"/>
      <c r="BD40" s="1237"/>
      <c r="BE40" s="1237"/>
      <c r="BF40" s="1237"/>
      <c r="BG40" s="1237"/>
      <c r="BH40" s="1237"/>
      <c r="BI40" s="1152"/>
      <c r="BJ40" s="1152"/>
      <c r="BK40" s="1152"/>
      <c r="BL40" s="1152"/>
      <c r="BM40" s="1152"/>
      <c r="BN40" s="1237"/>
      <c r="BO40" s="1237"/>
      <c r="BP40" s="1237"/>
    </row>
    <row r="41" spans="1:68" ht="24.95" customHeight="1">
      <c r="A41" s="1266">
        <v>1</v>
      </c>
      <c r="B41" s="1267" t="s">
        <v>44</v>
      </c>
      <c r="C41" s="1148">
        <v>10</v>
      </c>
      <c r="D41" s="1268">
        <v>10</v>
      </c>
      <c r="E41" s="1268">
        <v>25</v>
      </c>
      <c r="F41" s="1268">
        <v>0</v>
      </c>
      <c r="G41" s="1268">
        <v>71</v>
      </c>
      <c r="H41" s="1644">
        <v>0</v>
      </c>
      <c r="I41" s="1652">
        <v>0</v>
      </c>
      <c r="J41" s="1653">
        <v>0</v>
      </c>
      <c r="K41" s="1654">
        <v>0</v>
      </c>
      <c r="L41" s="1649">
        <v>6704.2999999999993</v>
      </c>
      <c r="M41" s="1268">
        <v>0</v>
      </c>
      <c r="N41" s="1269">
        <f>SUM(L41:M41)</f>
        <v>6704.2999999999993</v>
      </c>
      <c r="O41" s="1270">
        <v>364.9</v>
      </c>
      <c r="P41" s="1150">
        <v>0</v>
      </c>
      <c r="Q41" s="1150">
        <v>233.7</v>
      </c>
      <c r="R41" s="1150">
        <v>0</v>
      </c>
      <c r="S41" s="1150">
        <v>382.3</v>
      </c>
      <c r="T41" s="1150">
        <v>52.6</v>
      </c>
      <c r="U41" s="1150">
        <v>0</v>
      </c>
      <c r="V41" s="1150">
        <v>0</v>
      </c>
      <c r="W41" s="1150">
        <v>56.4</v>
      </c>
      <c r="X41" s="1150">
        <v>114.6</v>
      </c>
      <c r="Y41" s="1150">
        <v>0</v>
      </c>
      <c r="Z41" s="1097">
        <f>SUM(O41:Y41)</f>
        <v>1204.4999999999998</v>
      </c>
      <c r="AA41" s="1395">
        <v>18</v>
      </c>
      <c r="AB41" s="1396">
        <v>64.7</v>
      </c>
      <c r="AC41" s="1397">
        <v>10</v>
      </c>
      <c r="AD41" s="1397">
        <v>0</v>
      </c>
      <c r="AE41" s="1397">
        <v>160</v>
      </c>
      <c r="AF41" s="1398">
        <v>85</v>
      </c>
      <c r="AG41" s="1398">
        <v>0</v>
      </c>
      <c r="AH41" s="1399">
        <f>SUM(AA41:AG41)</f>
        <v>337.7</v>
      </c>
      <c r="AI41" s="1272">
        <v>804</v>
      </c>
      <c r="AJ41" s="1273">
        <v>87</v>
      </c>
      <c r="AK41" s="1271">
        <v>616</v>
      </c>
      <c r="AL41" s="1274">
        <v>257</v>
      </c>
      <c r="AM41" s="1275">
        <v>0</v>
      </c>
      <c r="AN41" s="1276">
        <v>6251</v>
      </c>
      <c r="BC41" s="1155"/>
      <c r="BD41" s="1155"/>
      <c r="BE41" s="1155"/>
      <c r="BF41" s="1155"/>
      <c r="BG41" s="1155"/>
      <c r="BH41" s="1155"/>
      <c r="BI41" s="1155"/>
      <c r="BJ41" s="1277"/>
      <c r="BK41" s="1277"/>
      <c r="BL41" s="1277"/>
      <c r="BM41" s="1277"/>
      <c r="BN41" s="1277"/>
      <c r="BO41" s="1277"/>
      <c r="BP41" s="1237"/>
    </row>
    <row r="42" spans="1:68" ht="20.100000000000001" customHeight="1">
      <c r="A42" s="1217">
        <v>2</v>
      </c>
      <c r="B42" s="1278" t="s">
        <v>45</v>
      </c>
      <c r="C42" s="1149">
        <v>0</v>
      </c>
      <c r="D42" s="1146">
        <v>40</v>
      </c>
      <c r="E42" s="1146">
        <v>6</v>
      </c>
      <c r="F42" s="1146">
        <v>0</v>
      </c>
      <c r="G42" s="1146">
        <v>20</v>
      </c>
      <c r="H42" s="1645">
        <v>0</v>
      </c>
      <c r="I42" s="1652">
        <v>0</v>
      </c>
      <c r="J42" s="1396">
        <v>0</v>
      </c>
      <c r="K42" s="1655">
        <v>0</v>
      </c>
      <c r="L42" s="1149">
        <v>3182.5</v>
      </c>
      <c r="M42" s="1146">
        <v>0</v>
      </c>
      <c r="N42" s="1269">
        <f>SUM(L42:M42)</f>
        <v>3182.5</v>
      </c>
      <c r="O42" s="1270">
        <v>0</v>
      </c>
      <c r="P42" s="1150">
        <v>0</v>
      </c>
      <c r="Q42" s="1150">
        <v>0</v>
      </c>
      <c r="R42" s="1150">
        <v>0</v>
      </c>
      <c r="S42" s="1150">
        <v>0</v>
      </c>
      <c r="T42" s="1150">
        <v>0</v>
      </c>
      <c r="U42" s="1150">
        <v>0</v>
      </c>
      <c r="V42" s="1150">
        <v>0</v>
      </c>
      <c r="W42" s="1150">
        <v>0</v>
      </c>
      <c r="X42" s="1150">
        <v>0</v>
      </c>
      <c r="Y42" s="1150">
        <v>110</v>
      </c>
      <c r="Z42" s="1097">
        <f t="shared" ref="Z42:Z59" si="7">SUM(O42:Y42)</f>
        <v>110</v>
      </c>
      <c r="AA42" s="1095">
        <v>0</v>
      </c>
      <c r="AB42" s="1396">
        <v>0</v>
      </c>
      <c r="AC42" s="1095">
        <v>0</v>
      </c>
      <c r="AD42" s="1095">
        <v>0</v>
      </c>
      <c r="AE42" s="1095">
        <v>0</v>
      </c>
      <c r="AF42" s="1095">
        <v>0</v>
      </c>
      <c r="AG42" s="1095">
        <v>0</v>
      </c>
      <c r="AH42" s="1400">
        <f>SUM(AA42:AG42)</f>
        <v>0</v>
      </c>
      <c r="AI42" s="1272">
        <v>0</v>
      </c>
      <c r="AJ42" s="1273">
        <v>0</v>
      </c>
      <c r="AK42" s="1271">
        <v>0</v>
      </c>
      <c r="AL42" s="1274">
        <v>0</v>
      </c>
      <c r="AM42" s="1275">
        <v>110</v>
      </c>
      <c r="AN42" s="1276">
        <v>3390</v>
      </c>
      <c r="BC42" s="1155"/>
      <c r="BD42" s="1155"/>
      <c r="BE42" s="1155"/>
      <c r="BF42" s="1155"/>
      <c r="BG42" s="1155"/>
      <c r="BH42" s="1155"/>
      <c r="BI42" s="1155"/>
      <c r="BJ42" s="1277"/>
      <c r="BK42" s="1277"/>
      <c r="BL42" s="1277"/>
      <c r="BM42" s="1277"/>
      <c r="BN42" s="1277"/>
      <c r="BO42" s="1277"/>
      <c r="BP42" s="1237"/>
    </row>
    <row r="43" spans="1:68" ht="20.100000000000001" customHeight="1">
      <c r="A43" s="1217">
        <v>3</v>
      </c>
      <c r="B43" s="1278" t="s">
        <v>46</v>
      </c>
      <c r="C43" s="1149">
        <v>150</v>
      </c>
      <c r="D43" s="1146">
        <v>50</v>
      </c>
      <c r="E43" s="1146">
        <v>22.5</v>
      </c>
      <c r="F43" s="1146">
        <v>0</v>
      </c>
      <c r="G43" s="1146">
        <v>49</v>
      </c>
      <c r="H43" s="1645">
        <v>0</v>
      </c>
      <c r="I43" s="1652">
        <v>0</v>
      </c>
      <c r="J43" s="1396">
        <v>0</v>
      </c>
      <c r="K43" s="1655">
        <v>0</v>
      </c>
      <c r="L43" s="1149">
        <v>5935.4</v>
      </c>
      <c r="M43" s="1146">
        <v>0</v>
      </c>
      <c r="N43" s="1269">
        <f t="shared" ref="N43:N59" si="8">SUM(L43:M43)</f>
        <v>5935.4</v>
      </c>
      <c r="O43" s="1270">
        <v>324.5</v>
      </c>
      <c r="P43" s="1150">
        <v>153.69999999999999</v>
      </c>
      <c r="Q43" s="1150">
        <v>197.3</v>
      </c>
      <c r="R43" s="1150">
        <v>30.5</v>
      </c>
      <c r="S43" s="1150">
        <v>232.4</v>
      </c>
      <c r="T43" s="1150">
        <v>0</v>
      </c>
      <c r="U43" s="1150">
        <v>0</v>
      </c>
      <c r="V43" s="1150">
        <v>0</v>
      </c>
      <c r="W43" s="1150">
        <v>38.700000000000003</v>
      </c>
      <c r="X43" s="1150">
        <v>17</v>
      </c>
      <c r="Y43" s="1150">
        <v>0</v>
      </c>
      <c r="Z43" s="1097">
        <f t="shared" si="7"/>
        <v>994.1</v>
      </c>
      <c r="AA43" s="1094">
        <v>18</v>
      </c>
      <c r="AB43" s="1396">
        <v>6.9000000000000057</v>
      </c>
      <c r="AC43" s="1095">
        <v>10</v>
      </c>
      <c r="AD43" s="1095">
        <v>0</v>
      </c>
      <c r="AE43" s="1095">
        <v>161</v>
      </c>
      <c r="AF43" s="1095">
        <v>28</v>
      </c>
      <c r="AG43" s="1096">
        <v>1134</v>
      </c>
      <c r="AH43" s="1400">
        <f t="shared" ref="AH43:AH59" si="9">SUM(AA43:AG43)</f>
        <v>1357.9</v>
      </c>
      <c r="AI43" s="1272">
        <v>679</v>
      </c>
      <c r="AJ43" s="1273">
        <v>262</v>
      </c>
      <c r="AK43" s="1271">
        <v>439</v>
      </c>
      <c r="AL43" s="1274">
        <v>46</v>
      </c>
      <c r="AM43" s="1275">
        <v>1134</v>
      </c>
      <c r="AN43" s="1276">
        <v>5515</v>
      </c>
      <c r="BC43" s="1155"/>
      <c r="BD43" s="1155"/>
      <c r="BE43" s="1155"/>
      <c r="BF43" s="1155"/>
      <c r="BG43" s="1155"/>
      <c r="BH43" s="1155"/>
      <c r="BI43" s="1155"/>
      <c r="BJ43" s="1277"/>
      <c r="BK43" s="1277"/>
      <c r="BL43" s="1277"/>
      <c r="BM43" s="1277"/>
      <c r="BN43" s="1277"/>
      <c r="BO43" s="1277"/>
      <c r="BP43" s="1237"/>
    </row>
    <row r="44" spans="1:68" ht="20.100000000000001" customHeight="1">
      <c r="A44" s="1217">
        <v>4</v>
      </c>
      <c r="B44" s="1278" t="s">
        <v>63</v>
      </c>
      <c r="C44" s="1149">
        <v>0</v>
      </c>
      <c r="D44" s="1146">
        <v>107</v>
      </c>
      <c r="E44" s="1146">
        <v>0</v>
      </c>
      <c r="F44" s="1146">
        <v>0</v>
      </c>
      <c r="G44" s="1146">
        <v>24</v>
      </c>
      <c r="H44" s="1645">
        <v>0</v>
      </c>
      <c r="I44" s="1652">
        <v>0</v>
      </c>
      <c r="J44" s="1396">
        <v>0</v>
      </c>
      <c r="K44" s="1655">
        <v>0</v>
      </c>
      <c r="L44" s="1149">
        <v>7510.3</v>
      </c>
      <c r="M44" s="1146">
        <v>0</v>
      </c>
      <c r="N44" s="1269">
        <f t="shared" si="8"/>
        <v>7510.3</v>
      </c>
      <c r="O44" s="1270">
        <v>0</v>
      </c>
      <c r="P44" s="1150">
        <v>0</v>
      </c>
      <c r="Q44" s="1150">
        <v>0</v>
      </c>
      <c r="R44" s="1150">
        <v>0</v>
      </c>
      <c r="S44" s="1150">
        <v>0</v>
      </c>
      <c r="T44" s="1150">
        <v>0</v>
      </c>
      <c r="U44" s="1150">
        <v>0</v>
      </c>
      <c r="V44" s="1150">
        <v>0</v>
      </c>
      <c r="W44" s="1150">
        <v>0</v>
      </c>
      <c r="X44" s="1150">
        <v>0</v>
      </c>
      <c r="Y44" s="1150">
        <v>0</v>
      </c>
      <c r="Z44" s="1097">
        <f t="shared" si="7"/>
        <v>0</v>
      </c>
      <c r="AA44" s="1098">
        <v>0</v>
      </c>
      <c r="AB44" s="1396">
        <v>0</v>
      </c>
      <c r="AC44" s="1096">
        <v>0</v>
      </c>
      <c r="AD44" s="1096">
        <v>0</v>
      </c>
      <c r="AE44" s="1096">
        <v>0</v>
      </c>
      <c r="AF44" s="1095">
        <v>0</v>
      </c>
      <c r="AG44" s="1096">
        <v>1595</v>
      </c>
      <c r="AH44" s="1400">
        <f t="shared" si="9"/>
        <v>1595</v>
      </c>
      <c r="AI44" s="1272">
        <v>0</v>
      </c>
      <c r="AJ44" s="1273">
        <v>0</v>
      </c>
      <c r="AK44" s="1271">
        <v>0</v>
      </c>
      <c r="AL44" s="1274">
        <v>0</v>
      </c>
      <c r="AM44" s="1275">
        <v>1595</v>
      </c>
      <c r="AN44" s="1276">
        <v>6204</v>
      </c>
      <c r="BC44" s="1155"/>
      <c r="BD44" s="1155"/>
      <c r="BE44" s="1155"/>
      <c r="BF44" s="1155"/>
      <c r="BG44" s="1155"/>
      <c r="BH44" s="1155"/>
      <c r="BI44" s="1155"/>
      <c r="BJ44" s="1277"/>
      <c r="BK44" s="1277"/>
      <c r="BL44" s="1277"/>
      <c r="BM44" s="1277"/>
      <c r="BN44" s="1277"/>
      <c r="BO44" s="1277"/>
      <c r="BP44" s="1237"/>
    </row>
    <row r="45" spans="1:68" ht="20.100000000000001" customHeight="1">
      <c r="A45" s="1217">
        <v>5</v>
      </c>
      <c r="B45" s="1278" t="s">
        <v>47</v>
      </c>
      <c r="C45" s="1149">
        <v>50</v>
      </c>
      <c r="D45" s="1146">
        <v>0</v>
      </c>
      <c r="E45" s="1146">
        <v>30</v>
      </c>
      <c r="F45" s="1146">
        <v>0</v>
      </c>
      <c r="G45" s="1146">
        <v>92</v>
      </c>
      <c r="H45" s="1645">
        <v>0</v>
      </c>
      <c r="I45" s="1652">
        <v>0</v>
      </c>
      <c r="J45" s="1396">
        <v>50</v>
      </c>
      <c r="K45" s="1655">
        <v>0</v>
      </c>
      <c r="L45" s="1149">
        <v>9189.3000000000029</v>
      </c>
      <c r="M45" s="1146">
        <v>0</v>
      </c>
      <c r="N45" s="1269">
        <f t="shared" si="8"/>
        <v>9189.3000000000029</v>
      </c>
      <c r="O45" s="1270">
        <v>345.8</v>
      </c>
      <c r="P45" s="1150">
        <v>0</v>
      </c>
      <c r="Q45" s="1150">
        <v>212.3</v>
      </c>
      <c r="R45" s="1150">
        <v>0</v>
      </c>
      <c r="S45" s="1150">
        <v>399.1</v>
      </c>
      <c r="T45" s="1150">
        <v>0</v>
      </c>
      <c r="U45" s="1150">
        <v>351.3</v>
      </c>
      <c r="V45" s="1150">
        <v>0</v>
      </c>
      <c r="W45" s="1150">
        <v>62</v>
      </c>
      <c r="X45" s="1150">
        <v>152</v>
      </c>
      <c r="Y45" s="1150">
        <v>100</v>
      </c>
      <c r="Z45" s="1097">
        <f t="shared" si="7"/>
        <v>1622.5</v>
      </c>
      <c r="AA45" s="1094">
        <v>48</v>
      </c>
      <c r="AB45" s="1396">
        <v>0</v>
      </c>
      <c r="AC45" s="1096">
        <v>10</v>
      </c>
      <c r="AD45" s="1095">
        <v>10</v>
      </c>
      <c r="AE45" s="1095">
        <v>56</v>
      </c>
      <c r="AF45" s="1096">
        <v>16</v>
      </c>
      <c r="AG45" s="1095">
        <v>0</v>
      </c>
      <c r="AH45" s="1400">
        <f t="shared" si="9"/>
        <v>140</v>
      </c>
      <c r="AI45" s="1272">
        <v>1033</v>
      </c>
      <c r="AJ45" s="1273">
        <v>0</v>
      </c>
      <c r="AK45" s="1271">
        <v>557</v>
      </c>
      <c r="AL45" s="1274">
        <v>532</v>
      </c>
      <c r="AM45" s="1275">
        <v>100</v>
      </c>
      <c r="AN45" s="1276">
        <v>8436</v>
      </c>
      <c r="BC45" s="1155"/>
      <c r="BD45" s="1155"/>
      <c r="BE45" s="1155"/>
      <c r="BF45" s="1155"/>
      <c r="BG45" s="1155"/>
      <c r="BH45" s="1155"/>
      <c r="BI45" s="1155"/>
      <c r="BJ45" s="1277"/>
      <c r="BK45" s="1277"/>
      <c r="BL45" s="1277"/>
      <c r="BM45" s="1277"/>
      <c r="BN45" s="1277"/>
      <c r="BO45" s="1277"/>
      <c r="BP45" s="1237"/>
    </row>
    <row r="46" spans="1:68" ht="24.95" customHeight="1">
      <c r="A46" s="1217">
        <v>6</v>
      </c>
      <c r="B46" s="1278" t="s">
        <v>48</v>
      </c>
      <c r="C46" s="1149">
        <v>0</v>
      </c>
      <c r="D46" s="1146">
        <v>157</v>
      </c>
      <c r="E46" s="1146">
        <v>0</v>
      </c>
      <c r="F46" s="1146">
        <v>0</v>
      </c>
      <c r="G46" s="1146">
        <v>51</v>
      </c>
      <c r="H46" s="1645">
        <v>0</v>
      </c>
      <c r="I46" s="1652">
        <v>0</v>
      </c>
      <c r="J46" s="1396">
        <v>0</v>
      </c>
      <c r="K46" s="1655">
        <v>0</v>
      </c>
      <c r="L46" s="1149">
        <v>9764</v>
      </c>
      <c r="M46" s="1146">
        <v>0</v>
      </c>
      <c r="N46" s="1269">
        <f t="shared" si="8"/>
        <v>9764</v>
      </c>
      <c r="O46" s="1270">
        <v>0</v>
      </c>
      <c r="P46" s="1150">
        <v>0</v>
      </c>
      <c r="Q46" s="1150">
        <v>0</v>
      </c>
      <c r="R46" s="1150">
        <v>0</v>
      </c>
      <c r="S46" s="1150">
        <v>0</v>
      </c>
      <c r="T46" s="1150">
        <v>0</v>
      </c>
      <c r="U46" s="1150">
        <v>0</v>
      </c>
      <c r="V46" s="1150">
        <v>0</v>
      </c>
      <c r="W46" s="1150">
        <v>0</v>
      </c>
      <c r="X46" s="1150">
        <v>0</v>
      </c>
      <c r="Y46" s="1150">
        <v>142</v>
      </c>
      <c r="Z46" s="1097">
        <f t="shared" si="7"/>
        <v>142</v>
      </c>
      <c r="AA46" s="1098">
        <v>0</v>
      </c>
      <c r="AB46" s="1396">
        <v>0</v>
      </c>
      <c r="AC46" s="1401">
        <v>0</v>
      </c>
      <c r="AD46" s="1401">
        <v>0</v>
      </c>
      <c r="AE46" s="1401">
        <v>0</v>
      </c>
      <c r="AF46" s="1095">
        <v>0</v>
      </c>
      <c r="AG46" s="1401">
        <v>1417</v>
      </c>
      <c r="AH46" s="1400">
        <f t="shared" si="9"/>
        <v>1417</v>
      </c>
      <c r="AI46" s="1272">
        <v>0</v>
      </c>
      <c r="AJ46" s="1273">
        <v>0</v>
      </c>
      <c r="AK46" s="1271">
        <v>0</v>
      </c>
      <c r="AL46" s="1274">
        <v>0</v>
      </c>
      <c r="AM46" s="1275">
        <v>1559</v>
      </c>
      <c r="AN46" s="1276">
        <v>8597</v>
      </c>
      <c r="BC46" s="1155"/>
      <c r="BD46" s="1155"/>
      <c r="BE46" s="1155"/>
      <c r="BF46" s="1155"/>
      <c r="BG46" s="1155"/>
      <c r="BH46" s="1155"/>
      <c r="BI46" s="1155"/>
      <c r="BJ46" s="1277"/>
      <c r="BK46" s="1277"/>
      <c r="BL46" s="1277"/>
      <c r="BM46" s="1277"/>
      <c r="BN46" s="1277"/>
      <c r="BO46" s="1277"/>
      <c r="BP46" s="1237"/>
    </row>
    <row r="47" spans="1:68" ht="20.100000000000001" customHeight="1">
      <c r="A47" s="1217">
        <v>7</v>
      </c>
      <c r="B47" s="1278" t="s">
        <v>49</v>
      </c>
      <c r="C47" s="1149">
        <v>11</v>
      </c>
      <c r="D47" s="1146">
        <v>23</v>
      </c>
      <c r="E47" s="1146">
        <v>5</v>
      </c>
      <c r="F47" s="1146">
        <v>0</v>
      </c>
      <c r="G47" s="1146">
        <v>35</v>
      </c>
      <c r="H47" s="1645">
        <v>0</v>
      </c>
      <c r="I47" s="1652">
        <v>0</v>
      </c>
      <c r="J47" s="1396">
        <v>0</v>
      </c>
      <c r="K47" s="1655">
        <v>0</v>
      </c>
      <c r="L47" s="1149">
        <v>1190.9999999999998</v>
      </c>
      <c r="M47" s="1146">
        <v>0</v>
      </c>
      <c r="N47" s="1269">
        <f t="shared" si="8"/>
        <v>1190.9999999999998</v>
      </c>
      <c r="O47" s="1270">
        <v>0</v>
      </c>
      <c r="P47" s="1150">
        <v>0</v>
      </c>
      <c r="Q47" s="1150">
        <v>0</v>
      </c>
      <c r="R47" s="1150">
        <v>0</v>
      </c>
      <c r="S47" s="1150">
        <v>0</v>
      </c>
      <c r="T47" s="1150">
        <v>0</v>
      </c>
      <c r="U47" s="1150">
        <v>0</v>
      </c>
      <c r="V47" s="1150">
        <v>0</v>
      </c>
      <c r="W47" s="1150">
        <v>0</v>
      </c>
      <c r="X47" s="1150">
        <v>0</v>
      </c>
      <c r="Y47" s="1150">
        <v>0</v>
      </c>
      <c r="Z47" s="1097">
        <f t="shared" si="7"/>
        <v>0</v>
      </c>
      <c r="AA47" s="1098">
        <v>0</v>
      </c>
      <c r="AB47" s="1396">
        <v>0</v>
      </c>
      <c r="AC47" s="1401">
        <v>0</v>
      </c>
      <c r="AD47" s="1401">
        <v>0</v>
      </c>
      <c r="AE47" s="1401">
        <v>0</v>
      </c>
      <c r="AF47" s="1401">
        <v>0</v>
      </c>
      <c r="AG47" s="1401">
        <v>0</v>
      </c>
      <c r="AH47" s="1400">
        <f t="shared" si="9"/>
        <v>0</v>
      </c>
      <c r="AI47" s="1272">
        <v>0</v>
      </c>
      <c r="AJ47" s="1273">
        <v>0</v>
      </c>
      <c r="AK47" s="1271">
        <v>0</v>
      </c>
      <c r="AL47" s="1274">
        <v>0</v>
      </c>
      <c r="AM47" s="1275">
        <v>0</v>
      </c>
      <c r="AN47" s="1276">
        <v>1042</v>
      </c>
      <c r="BC47" s="1155"/>
      <c r="BD47" s="1155"/>
      <c r="BE47" s="1155"/>
      <c r="BF47" s="1155"/>
      <c r="BG47" s="1155"/>
      <c r="BH47" s="1155"/>
      <c r="BI47" s="1155"/>
      <c r="BJ47" s="1277"/>
      <c r="BK47" s="1277"/>
      <c r="BL47" s="1277"/>
      <c r="BM47" s="1277"/>
      <c r="BN47" s="1277"/>
      <c r="BO47" s="1277"/>
      <c r="BP47" s="1237"/>
    </row>
    <row r="48" spans="1:68" ht="20.100000000000001" customHeight="1">
      <c r="A48" s="1217">
        <v>8</v>
      </c>
      <c r="B48" s="1278" t="s">
        <v>50</v>
      </c>
      <c r="C48" s="1149">
        <v>150</v>
      </c>
      <c r="D48" s="1146">
        <v>8</v>
      </c>
      <c r="E48" s="1146">
        <v>12.5</v>
      </c>
      <c r="F48" s="1146">
        <v>15</v>
      </c>
      <c r="G48" s="1146">
        <v>124</v>
      </c>
      <c r="H48" s="1645">
        <v>0</v>
      </c>
      <c r="I48" s="1652">
        <v>0</v>
      </c>
      <c r="J48" s="1396">
        <v>0</v>
      </c>
      <c r="K48" s="1655">
        <v>0</v>
      </c>
      <c r="L48" s="1149">
        <v>12233.699999999999</v>
      </c>
      <c r="M48" s="1146">
        <v>0</v>
      </c>
      <c r="N48" s="1269">
        <f t="shared" si="8"/>
        <v>12233.699999999999</v>
      </c>
      <c r="O48" s="1270">
        <v>484.4</v>
      </c>
      <c r="P48" s="1150">
        <v>240.5</v>
      </c>
      <c r="Q48" s="1150">
        <v>301.89999999999998</v>
      </c>
      <c r="R48" s="1150">
        <v>53.5</v>
      </c>
      <c r="S48" s="1150">
        <v>487.6</v>
      </c>
      <c r="T48" s="1150">
        <v>0</v>
      </c>
      <c r="U48" s="1150">
        <v>0</v>
      </c>
      <c r="V48" s="1150">
        <v>94.5</v>
      </c>
      <c r="W48" s="1150">
        <v>68.900000000000006</v>
      </c>
      <c r="X48" s="1150">
        <v>121.3</v>
      </c>
      <c r="Y48" s="1150">
        <v>115</v>
      </c>
      <c r="Z48" s="1097">
        <f t="shared" si="7"/>
        <v>1967.6000000000001</v>
      </c>
      <c r="AA48" s="1094">
        <v>81</v>
      </c>
      <c r="AB48" s="1396">
        <v>0</v>
      </c>
      <c r="AC48" s="1401">
        <v>10</v>
      </c>
      <c r="AD48" s="1095">
        <v>0</v>
      </c>
      <c r="AE48" s="1095">
        <v>104</v>
      </c>
      <c r="AF48" s="1096">
        <v>91</v>
      </c>
      <c r="AG48" s="1401">
        <v>0</v>
      </c>
      <c r="AH48" s="1400">
        <f t="shared" si="9"/>
        <v>286</v>
      </c>
      <c r="AI48" s="1272">
        <v>1168</v>
      </c>
      <c r="AJ48" s="1273">
        <v>357</v>
      </c>
      <c r="AK48" s="1271">
        <v>666</v>
      </c>
      <c r="AL48" s="1274">
        <v>312</v>
      </c>
      <c r="AM48" s="1275">
        <v>115</v>
      </c>
      <c r="AN48" s="1276">
        <v>11131</v>
      </c>
      <c r="BC48" s="1155"/>
      <c r="BD48" s="1155"/>
      <c r="BE48" s="1155"/>
      <c r="BF48" s="1155"/>
      <c r="BG48" s="1155"/>
      <c r="BH48" s="1155"/>
      <c r="BI48" s="1155"/>
      <c r="BJ48" s="1277"/>
      <c r="BK48" s="1277"/>
      <c r="BL48" s="1277"/>
      <c r="BM48" s="1277"/>
      <c r="BN48" s="1277"/>
      <c r="BO48" s="1277"/>
      <c r="BP48" s="1237"/>
    </row>
    <row r="49" spans="1:68" ht="20.100000000000001" customHeight="1">
      <c r="A49" s="1217">
        <v>9</v>
      </c>
      <c r="B49" s="1278" t="s">
        <v>51</v>
      </c>
      <c r="C49" s="1149">
        <v>83</v>
      </c>
      <c r="D49" s="1146">
        <v>60</v>
      </c>
      <c r="E49" s="1146">
        <v>12.5</v>
      </c>
      <c r="F49" s="1146">
        <v>0</v>
      </c>
      <c r="G49" s="1146">
        <v>70</v>
      </c>
      <c r="H49" s="1645">
        <v>0</v>
      </c>
      <c r="I49" s="1652">
        <v>0</v>
      </c>
      <c r="J49" s="1396">
        <v>0</v>
      </c>
      <c r="K49" s="1655">
        <v>0</v>
      </c>
      <c r="L49" s="1149">
        <v>4909.7</v>
      </c>
      <c r="M49" s="1146">
        <v>0</v>
      </c>
      <c r="N49" s="1269">
        <f t="shared" si="8"/>
        <v>4909.7</v>
      </c>
      <c r="O49" s="1270">
        <v>0</v>
      </c>
      <c r="P49" s="1150">
        <v>0</v>
      </c>
      <c r="Q49" s="1150">
        <v>0</v>
      </c>
      <c r="R49" s="1150">
        <v>0</v>
      </c>
      <c r="S49" s="1150">
        <v>0</v>
      </c>
      <c r="T49" s="1150">
        <v>0</v>
      </c>
      <c r="U49" s="1150">
        <v>0</v>
      </c>
      <c r="V49" s="1150">
        <v>0</v>
      </c>
      <c r="W49" s="1150">
        <v>0</v>
      </c>
      <c r="X49" s="1150">
        <v>0</v>
      </c>
      <c r="Y49" s="1150">
        <v>0</v>
      </c>
      <c r="Z49" s="1097">
        <f t="shared" si="7"/>
        <v>0</v>
      </c>
      <c r="AA49" s="1099">
        <v>0</v>
      </c>
      <c r="AB49" s="1396">
        <v>0</v>
      </c>
      <c r="AC49" s="1096">
        <v>0</v>
      </c>
      <c r="AD49" s="1096">
        <v>0</v>
      </c>
      <c r="AE49" s="1096">
        <v>0</v>
      </c>
      <c r="AF49" s="1096">
        <v>0</v>
      </c>
      <c r="AG49" s="1096">
        <v>0</v>
      </c>
      <c r="AH49" s="1400">
        <f t="shared" si="9"/>
        <v>0</v>
      </c>
      <c r="AI49" s="1272">
        <v>0</v>
      </c>
      <c r="AJ49" s="1273">
        <v>0</v>
      </c>
      <c r="AK49" s="1271">
        <v>0</v>
      </c>
      <c r="AL49" s="1274">
        <v>0</v>
      </c>
      <c r="AM49" s="1275">
        <v>0</v>
      </c>
      <c r="AN49" s="1276">
        <v>4481</v>
      </c>
      <c r="BC49" s="1155"/>
      <c r="BD49" s="1155"/>
      <c r="BE49" s="1155"/>
      <c r="BF49" s="1155"/>
      <c r="BG49" s="1155"/>
      <c r="BH49" s="1155"/>
      <c r="BI49" s="1155"/>
      <c r="BJ49" s="1277"/>
      <c r="BK49" s="1277"/>
      <c r="BL49" s="1277"/>
      <c r="BM49" s="1277"/>
      <c r="BN49" s="1277"/>
      <c r="BO49" s="1277"/>
      <c r="BP49" s="1237"/>
    </row>
    <row r="50" spans="1:68" ht="20.100000000000001" customHeight="1">
      <c r="A50" s="1217">
        <v>10</v>
      </c>
      <c r="B50" s="1278" t="s">
        <v>98</v>
      </c>
      <c r="C50" s="1149">
        <v>0</v>
      </c>
      <c r="D50" s="1146">
        <v>0</v>
      </c>
      <c r="E50" s="1146">
        <v>0</v>
      </c>
      <c r="F50" s="1146">
        <v>0</v>
      </c>
      <c r="G50" s="1146">
        <v>0</v>
      </c>
      <c r="H50" s="1645">
        <v>0</v>
      </c>
      <c r="I50" s="1652">
        <v>14</v>
      </c>
      <c r="J50" s="1396">
        <v>6</v>
      </c>
      <c r="K50" s="1655">
        <v>0</v>
      </c>
      <c r="L50" s="1149">
        <v>5983.2</v>
      </c>
      <c r="M50" s="1146">
        <v>0</v>
      </c>
      <c r="N50" s="1269">
        <f t="shared" si="8"/>
        <v>5983.2</v>
      </c>
      <c r="O50" s="1270">
        <v>0</v>
      </c>
      <c r="P50" s="1150">
        <v>0</v>
      </c>
      <c r="Q50" s="1150">
        <v>0</v>
      </c>
      <c r="R50" s="1150">
        <v>0</v>
      </c>
      <c r="S50" s="1150">
        <v>0</v>
      </c>
      <c r="T50" s="1150">
        <v>0</v>
      </c>
      <c r="U50" s="1150">
        <v>0</v>
      </c>
      <c r="V50" s="1150">
        <v>0</v>
      </c>
      <c r="W50" s="1150">
        <v>0</v>
      </c>
      <c r="X50" s="1150">
        <v>0</v>
      </c>
      <c r="Y50" s="1150">
        <v>0</v>
      </c>
      <c r="Z50" s="1097">
        <f t="shared" si="7"/>
        <v>0</v>
      </c>
      <c r="AA50" s="1099">
        <v>0</v>
      </c>
      <c r="AB50" s="1396">
        <v>0</v>
      </c>
      <c r="AC50" s="1096">
        <v>0</v>
      </c>
      <c r="AD50" s="1095">
        <v>0</v>
      </c>
      <c r="AE50" s="1096">
        <v>80</v>
      </c>
      <c r="AF50" s="1096">
        <v>18</v>
      </c>
      <c r="AG50" s="1096">
        <v>0</v>
      </c>
      <c r="AH50" s="1400">
        <f t="shared" si="9"/>
        <v>98</v>
      </c>
      <c r="AI50" s="1272">
        <v>0</v>
      </c>
      <c r="AJ50" s="1273">
        <v>0</v>
      </c>
      <c r="AK50" s="1271">
        <v>80</v>
      </c>
      <c r="AL50" s="1274">
        <v>18</v>
      </c>
      <c r="AM50" s="1275">
        <v>0</v>
      </c>
      <c r="AN50" s="1276">
        <v>6245</v>
      </c>
      <c r="BC50" s="1155"/>
      <c r="BD50" s="1155"/>
      <c r="BE50" s="1155"/>
      <c r="BF50" s="1155"/>
      <c r="BG50" s="1155"/>
      <c r="BH50" s="1155"/>
      <c r="BI50" s="1155"/>
      <c r="BJ50" s="1277"/>
      <c r="BK50" s="1277"/>
      <c r="BL50" s="1277"/>
      <c r="BM50" s="1277"/>
      <c r="BN50" s="1277"/>
      <c r="BO50" s="1277"/>
      <c r="BP50" s="1237"/>
    </row>
    <row r="51" spans="1:68" ht="24.95" customHeight="1">
      <c r="A51" s="1217">
        <v>11</v>
      </c>
      <c r="B51" s="1278" t="s">
        <v>99</v>
      </c>
      <c r="C51" s="1149">
        <v>0</v>
      </c>
      <c r="D51" s="1146">
        <v>60</v>
      </c>
      <c r="E51" s="1146">
        <v>10</v>
      </c>
      <c r="F51" s="1146">
        <v>0</v>
      </c>
      <c r="G51" s="1146">
        <v>18</v>
      </c>
      <c r="H51" s="1645">
        <v>0</v>
      </c>
      <c r="I51" s="1652">
        <v>0</v>
      </c>
      <c r="J51" s="1396">
        <v>0</v>
      </c>
      <c r="K51" s="1655">
        <v>0</v>
      </c>
      <c r="L51" s="1149">
        <v>4100.5999999999995</v>
      </c>
      <c r="M51" s="1146">
        <v>0</v>
      </c>
      <c r="N51" s="1269">
        <f t="shared" si="8"/>
        <v>4100.5999999999995</v>
      </c>
      <c r="O51" s="1270">
        <v>0</v>
      </c>
      <c r="P51" s="1150">
        <v>0</v>
      </c>
      <c r="Q51" s="1150">
        <v>0</v>
      </c>
      <c r="R51" s="1150">
        <v>0</v>
      </c>
      <c r="S51" s="1150">
        <v>0</v>
      </c>
      <c r="T51" s="1150">
        <v>0</v>
      </c>
      <c r="U51" s="1150">
        <v>0</v>
      </c>
      <c r="V51" s="1150">
        <v>0</v>
      </c>
      <c r="W51" s="1150">
        <v>0</v>
      </c>
      <c r="X51" s="1150">
        <v>0</v>
      </c>
      <c r="Y51" s="1150">
        <v>0</v>
      </c>
      <c r="Z51" s="1097">
        <f t="shared" si="7"/>
        <v>0</v>
      </c>
      <c r="AA51" s="1099">
        <v>0</v>
      </c>
      <c r="AB51" s="1396">
        <v>0</v>
      </c>
      <c r="AC51" s="1096">
        <v>0</v>
      </c>
      <c r="AD51" s="1096">
        <v>0</v>
      </c>
      <c r="AE51" s="1096">
        <v>0</v>
      </c>
      <c r="AF51" s="1096">
        <v>0</v>
      </c>
      <c r="AG51" s="1096">
        <v>0</v>
      </c>
      <c r="AH51" s="1400">
        <f t="shared" si="9"/>
        <v>0</v>
      </c>
      <c r="AI51" s="1272">
        <v>0</v>
      </c>
      <c r="AJ51" s="1273">
        <v>0</v>
      </c>
      <c r="AK51" s="1271">
        <v>0</v>
      </c>
      <c r="AL51" s="1274">
        <v>0</v>
      </c>
      <c r="AM51" s="1275">
        <v>0</v>
      </c>
      <c r="AN51" s="1276">
        <v>0</v>
      </c>
      <c r="BC51" s="1155"/>
      <c r="BD51" s="1155"/>
      <c r="BE51" s="1155"/>
      <c r="BF51" s="1155"/>
      <c r="BG51" s="1155"/>
      <c r="BH51" s="1155"/>
      <c r="BI51" s="1155"/>
      <c r="BJ51" s="1277"/>
      <c r="BK51" s="1277"/>
      <c r="BL51" s="1277"/>
      <c r="BM51" s="1277"/>
      <c r="BN51" s="1277"/>
      <c r="BO51" s="1277"/>
      <c r="BP51" s="1237"/>
    </row>
    <row r="52" spans="1:68" ht="20.100000000000001" customHeight="1">
      <c r="A52" s="1217">
        <v>12</v>
      </c>
      <c r="B52" s="1278" t="s">
        <v>58</v>
      </c>
      <c r="C52" s="1149">
        <v>0</v>
      </c>
      <c r="D52" s="1146">
        <v>70</v>
      </c>
      <c r="E52" s="1146">
        <v>0</v>
      </c>
      <c r="F52" s="1146">
        <v>0</v>
      </c>
      <c r="G52" s="1146">
        <v>27</v>
      </c>
      <c r="H52" s="1645">
        <v>150</v>
      </c>
      <c r="I52" s="1652">
        <v>0</v>
      </c>
      <c r="J52" s="1396">
        <v>0</v>
      </c>
      <c r="K52" s="1655">
        <v>0</v>
      </c>
      <c r="L52" s="1149">
        <v>2341.5</v>
      </c>
      <c r="M52" s="1146">
        <v>0</v>
      </c>
      <c r="N52" s="1269">
        <f t="shared" si="8"/>
        <v>2341.5</v>
      </c>
      <c r="O52" s="1270">
        <v>0</v>
      </c>
      <c r="P52" s="1150">
        <v>0</v>
      </c>
      <c r="Q52" s="1150">
        <v>0</v>
      </c>
      <c r="R52" s="1150">
        <v>0</v>
      </c>
      <c r="S52" s="1150">
        <v>0</v>
      </c>
      <c r="T52" s="1150">
        <v>0</v>
      </c>
      <c r="U52" s="1150">
        <v>0</v>
      </c>
      <c r="V52" s="1150">
        <v>0</v>
      </c>
      <c r="W52" s="1150">
        <v>0</v>
      </c>
      <c r="X52" s="1150">
        <v>0</v>
      </c>
      <c r="Y52" s="1150">
        <v>103</v>
      </c>
      <c r="Z52" s="1097">
        <f t="shared" si="7"/>
        <v>103</v>
      </c>
      <c r="AA52" s="1099">
        <v>0</v>
      </c>
      <c r="AB52" s="1396">
        <v>0</v>
      </c>
      <c r="AC52" s="1096">
        <v>0</v>
      </c>
      <c r="AD52" s="1096">
        <v>0</v>
      </c>
      <c r="AE52" s="1096">
        <v>0</v>
      </c>
      <c r="AF52" s="1096">
        <v>0</v>
      </c>
      <c r="AG52" s="1096">
        <v>0</v>
      </c>
      <c r="AH52" s="1400">
        <f t="shared" si="9"/>
        <v>0</v>
      </c>
      <c r="AI52" s="1272">
        <v>0</v>
      </c>
      <c r="AJ52" s="1273">
        <v>0</v>
      </c>
      <c r="AK52" s="1271">
        <v>0</v>
      </c>
      <c r="AL52" s="1274">
        <v>0</v>
      </c>
      <c r="AM52" s="1275">
        <v>103</v>
      </c>
      <c r="AN52" s="1276">
        <v>2404</v>
      </c>
      <c r="BC52" s="1155"/>
      <c r="BD52" s="1155"/>
      <c r="BE52" s="1155"/>
      <c r="BF52" s="1155"/>
      <c r="BG52" s="1155"/>
      <c r="BH52" s="1155"/>
      <c r="BI52" s="1155"/>
      <c r="BJ52" s="1277"/>
      <c r="BK52" s="1277"/>
      <c r="BL52" s="1277"/>
      <c r="BM52" s="1277"/>
      <c r="BN52" s="1277"/>
      <c r="BO52" s="1277"/>
      <c r="BP52" s="1237"/>
    </row>
    <row r="53" spans="1:68" ht="20.100000000000001" customHeight="1">
      <c r="A53" s="1217">
        <v>13</v>
      </c>
      <c r="B53" s="1278" t="s">
        <v>52</v>
      </c>
      <c r="C53" s="1149">
        <v>0</v>
      </c>
      <c r="D53" s="1146">
        <v>75</v>
      </c>
      <c r="E53" s="1146">
        <v>10</v>
      </c>
      <c r="F53" s="1146">
        <v>0</v>
      </c>
      <c r="G53" s="1146">
        <v>50</v>
      </c>
      <c r="H53" s="1645">
        <v>0</v>
      </c>
      <c r="I53" s="1652">
        <v>0</v>
      </c>
      <c r="J53" s="1396">
        <v>0</v>
      </c>
      <c r="K53" s="1655">
        <v>0</v>
      </c>
      <c r="L53" s="1149">
        <v>6316</v>
      </c>
      <c r="M53" s="1146">
        <v>0</v>
      </c>
      <c r="N53" s="1269">
        <f t="shared" si="8"/>
        <v>6316</v>
      </c>
      <c r="O53" s="1270">
        <v>0</v>
      </c>
      <c r="P53" s="1150">
        <v>0</v>
      </c>
      <c r="Q53" s="1150">
        <v>0</v>
      </c>
      <c r="R53" s="1150">
        <v>0</v>
      </c>
      <c r="S53" s="1150">
        <v>0</v>
      </c>
      <c r="T53" s="1150">
        <v>0</v>
      </c>
      <c r="U53" s="1150">
        <v>0</v>
      </c>
      <c r="V53" s="1150">
        <v>0</v>
      </c>
      <c r="W53" s="1150">
        <v>0</v>
      </c>
      <c r="X53" s="1150">
        <v>0</v>
      </c>
      <c r="Y53" s="1150">
        <v>68</v>
      </c>
      <c r="Z53" s="1097">
        <f t="shared" si="7"/>
        <v>68</v>
      </c>
      <c r="AA53" s="1099">
        <v>0</v>
      </c>
      <c r="AB53" s="1396">
        <v>0</v>
      </c>
      <c r="AC53" s="1096">
        <v>0</v>
      </c>
      <c r="AD53" s="1096">
        <v>0</v>
      </c>
      <c r="AE53" s="1096">
        <v>0</v>
      </c>
      <c r="AF53" s="1095">
        <v>0</v>
      </c>
      <c r="AG53" s="1096">
        <v>810</v>
      </c>
      <c r="AH53" s="1400">
        <f t="shared" si="9"/>
        <v>810</v>
      </c>
      <c r="AI53" s="1272">
        <v>0</v>
      </c>
      <c r="AJ53" s="1273">
        <v>0</v>
      </c>
      <c r="AK53" s="1271">
        <v>0</v>
      </c>
      <c r="AL53" s="1274">
        <v>0</v>
      </c>
      <c r="AM53" s="1275">
        <v>878</v>
      </c>
      <c r="AN53" s="1276">
        <v>5731</v>
      </c>
      <c r="BC53" s="1155"/>
      <c r="BD53" s="1155"/>
      <c r="BE53" s="1155"/>
      <c r="BF53" s="1155"/>
      <c r="BG53" s="1155"/>
      <c r="BH53" s="1155"/>
      <c r="BI53" s="1155"/>
      <c r="BJ53" s="1277"/>
      <c r="BK53" s="1277"/>
      <c r="BL53" s="1277"/>
      <c r="BM53" s="1277"/>
      <c r="BN53" s="1277"/>
      <c r="BO53" s="1277"/>
      <c r="BP53" s="1237"/>
    </row>
    <row r="54" spans="1:68" ht="20.100000000000001" customHeight="1">
      <c r="A54" s="1217">
        <v>14</v>
      </c>
      <c r="B54" s="1100" t="s">
        <v>100</v>
      </c>
      <c r="C54" s="1149">
        <v>5</v>
      </c>
      <c r="D54" s="1146">
        <v>0</v>
      </c>
      <c r="E54" s="1146">
        <v>0</v>
      </c>
      <c r="F54" s="1146">
        <v>0</v>
      </c>
      <c r="G54" s="1146">
        <v>21</v>
      </c>
      <c r="H54" s="1645">
        <v>0</v>
      </c>
      <c r="I54" s="1652">
        <v>0</v>
      </c>
      <c r="J54" s="1396">
        <v>0</v>
      </c>
      <c r="K54" s="1655">
        <v>0</v>
      </c>
      <c r="L54" s="1149">
        <v>517</v>
      </c>
      <c r="M54" s="1146">
        <v>36</v>
      </c>
      <c r="N54" s="1269">
        <f t="shared" si="8"/>
        <v>553</v>
      </c>
      <c r="O54" s="1270">
        <v>0</v>
      </c>
      <c r="P54" s="1150">
        <v>0</v>
      </c>
      <c r="Q54" s="1150">
        <v>0</v>
      </c>
      <c r="R54" s="1150">
        <v>0</v>
      </c>
      <c r="S54" s="1150">
        <v>0</v>
      </c>
      <c r="T54" s="1150">
        <v>92.5</v>
      </c>
      <c r="U54" s="1150">
        <v>0</v>
      </c>
      <c r="V54" s="1150">
        <v>0</v>
      </c>
      <c r="W54" s="1150">
        <v>0</v>
      </c>
      <c r="X54" s="1150">
        <v>0</v>
      </c>
      <c r="Y54" s="1150">
        <v>0</v>
      </c>
      <c r="Z54" s="1097">
        <f t="shared" si="7"/>
        <v>92.5</v>
      </c>
      <c r="AA54" s="1099">
        <v>0</v>
      </c>
      <c r="AB54" s="1396">
        <v>0</v>
      </c>
      <c r="AC54" s="1096">
        <v>0</v>
      </c>
      <c r="AD54" s="1096">
        <v>0</v>
      </c>
      <c r="AE54" s="1096">
        <v>0</v>
      </c>
      <c r="AF54" s="1096">
        <v>0</v>
      </c>
      <c r="AG54" s="1096">
        <v>0</v>
      </c>
      <c r="AH54" s="1400">
        <f t="shared" si="9"/>
        <v>0</v>
      </c>
      <c r="AI54" s="1272">
        <v>0</v>
      </c>
      <c r="AJ54" s="1273">
        <v>0</v>
      </c>
      <c r="AK54" s="1271">
        <v>0</v>
      </c>
      <c r="AL54" s="1274">
        <v>94</v>
      </c>
      <c r="AM54" s="1275">
        <v>0</v>
      </c>
      <c r="AN54" s="1276">
        <v>457</v>
      </c>
      <c r="BC54" s="1279"/>
      <c r="BD54" s="1155"/>
      <c r="BE54" s="1155"/>
      <c r="BF54" s="1155"/>
      <c r="BG54" s="1155"/>
      <c r="BH54" s="1155"/>
      <c r="BI54" s="1155"/>
      <c r="BJ54" s="1277"/>
      <c r="BK54" s="1277"/>
      <c r="BL54" s="1277"/>
      <c r="BM54" s="1277"/>
      <c r="BN54" s="1277"/>
      <c r="BO54" s="1277"/>
      <c r="BP54" s="1237"/>
    </row>
    <row r="55" spans="1:68" ht="20.100000000000001" customHeight="1">
      <c r="A55" s="1217">
        <v>15</v>
      </c>
      <c r="B55" s="1278" t="s">
        <v>174</v>
      </c>
      <c r="C55" s="1149">
        <v>0</v>
      </c>
      <c r="D55" s="1146">
        <v>50</v>
      </c>
      <c r="E55" s="1146">
        <v>0</v>
      </c>
      <c r="F55" s="1146">
        <v>0</v>
      </c>
      <c r="G55" s="1146">
        <v>6</v>
      </c>
      <c r="H55" s="1645">
        <v>0</v>
      </c>
      <c r="I55" s="1652">
        <v>0</v>
      </c>
      <c r="J55" s="1396">
        <v>0</v>
      </c>
      <c r="K55" s="1655">
        <v>25</v>
      </c>
      <c r="L55" s="1149">
        <v>1440.9999999999998</v>
      </c>
      <c r="M55" s="1146">
        <v>0</v>
      </c>
      <c r="N55" s="1269">
        <f t="shared" si="8"/>
        <v>1440.9999999999998</v>
      </c>
      <c r="O55" s="1270">
        <v>0</v>
      </c>
      <c r="P55" s="1150">
        <v>0</v>
      </c>
      <c r="Q55" s="1150">
        <v>0</v>
      </c>
      <c r="R55" s="1150">
        <v>0</v>
      </c>
      <c r="S55" s="1150">
        <v>0</v>
      </c>
      <c r="T55" s="1150">
        <v>0</v>
      </c>
      <c r="U55" s="1150">
        <v>0</v>
      </c>
      <c r="V55" s="1150">
        <v>0</v>
      </c>
      <c r="W55" s="1150">
        <v>0</v>
      </c>
      <c r="X55" s="1150">
        <v>0</v>
      </c>
      <c r="Y55" s="1150">
        <v>0</v>
      </c>
      <c r="Z55" s="1097">
        <f t="shared" si="7"/>
        <v>0</v>
      </c>
      <c r="AA55" s="1099">
        <v>0</v>
      </c>
      <c r="AB55" s="1396">
        <v>0</v>
      </c>
      <c r="AC55" s="1096">
        <v>0</v>
      </c>
      <c r="AD55" s="1096">
        <v>0</v>
      </c>
      <c r="AE55" s="1096">
        <v>0</v>
      </c>
      <c r="AF55" s="1096">
        <v>0</v>
      </c>
      <c r="AG55" s="1096">
        <v>0</v>
      </c>
      <c r="AH55" s="1400">
        <f t="shared" si="9"/>
        <v>0</v>
      </c>
      <c r="AI55" s="1272">
        <v>0</v>
      </c>
      <c r="AJ55" s="1273">
        <v>0</v>
      </c>
      <c r="AK55" s="1271">
        <v>0</v>
      </c>
      <c r="AL55" s="1274">
        <v>0</v>
      </c>
      <c r="AM55" s="1275">
        <v>0</v>
      </c>
      <c r="AN55" s="1276">
        <v>1412</v>
      </c>
      <c r="BC55" s="1277"/>
      <c r="BD55" s="1155"/>
      <c r="BE55" s="1155"/>
      <c r="BF55" s="1155"/>
      <c r="BG55" s="1155"/>
      <c r="BH55" s="1155"/>
      <c r="BI55" s="1155"/>
      <c r="BJ55" s="1277"/>
      <c r="BK55" s="1277"/>
      <c r="BL55" s="1277"/>
      <c r="BM55" s="1277"/>
      <c r="BN55" s="1277"/>
      <c r="BO55" s="1277"/>
      <c r="BP55" s="1237"/>
    </row>
    <row r="56" spans="1:68" ht="24.95" customHeight="1">
      <c r="A56" s="1217">
        <v>16</v>
      </c>
      <c r="B56" s="1278" t="s">
        <v>53</v>
      </c>
      <c r="C56" s="1149">
        <v>20</v>
      </c>
      <c r="D56" s="1146">
        <v>0</v>
      </c>
      <c r="E56" s="1146">
        <v>25</v>
      </c>
      <c r="F56" s="1146">
        <v>0</v>
      </c>
      <c r="G56" s="1146">
        <v>27</v>
      </c>
      <c r="H56" s="1645">
        <v>0</v>
      </c>
      <c r="I56" s="1652">
        <v>0</v>
      </c>
      <c r="J56" s="1396">
        <v>0</v>
      </c>
      <c r="K56" s="1655">
        <v>0</v>
      </c>
      <c r="L56" s="1149">
        <v>2636</v>
      </c>
      <c r="M56" s="1146">
        <v>29</v>
      </c>
      <c r="N56" s="1269">
        <f t="shared" si="8"/>
        <v>2665</v>
      </c>
      <c r="O56" s="1270">
        <v>0</v>
      </c>
      <c r="P56" s="1150">
        <v>0</v>
      </c>
      <c r="Q56" s="1150">
        <v>176.2</v>
      </c>
      <c r="R56" s="1150">
        <v>0</v>
      </c>
      <c r="S56" s="1150">
        <v>0</v>
      </c>
      <c r="T56" s="1150">
        <v>0</v>
      </c>
      <c r="U56" s="1150">
        <v>0</v>
      </c>
      <c r="V56" s="1150">
        <v>0</v>
      </c>
      <c r="W56" s="1150">
        <v>0</v>
      </c>
      <c r="X56" s="1150">
        <v>0</v>
      </c>
      <c r="Y56" s="1150">
        <v>0</v>
      </c>
      <c r="Z56" s="1097">
        <f t="shared" si="7"/>
        <v>176.2</v>
      </c>
      <c r="AA56" s="1099">
        <v>0</v>
      </c>
      <c r="AB56" s="1396">
        <v>0</v>
      </c>
      <c r="AC56" s="1096">
        <v>10</v>
      </c>
      <c r="AD56" s="1096">
        <v>0</v>
      </c>
      <c r="AE56" s="1096">
        <v>0</v>
      </c>
      <c r="AF56" s="1096">
        <v>0</v>
      </c>
      <c r="AG56" s="1096">
        <v>0</v>
      </c>
      <c r="AH56" s="1400">
        <f t="shared" si="9"/>
        <v>10</v>
      </c>
      <c r="AI56" s="1272">
        <v>297</v>
      </c>
      <c r="AJ56" s="1273">
        <v>0</v>
      </c>
      <c r="AK56" s="1271">
        <v>0</v>
      </c>
      <c r="AL56" s="1274">
        <v>0</v>
      </c>
      <c r="AM56" s="1275">
        <v>0</v>
      </c>
      <c r="AN56" s="1276">
        <v>2569</v>
      </c>
      <c r="BC56" s="1155"/>
      <c r="BD56" s="1155"/>
      <c r="BE56" s="1155"/>
      <c r="BF56" s="1155"/>
      <c r="BG56" s="1155"/>
      <c r="BH56" s="1155"/>
      <c r="BI56" s="1155"/>
      <c r="BJ56" s="1277"/>
      <c r="BK56" s="1277"/>
      <c r="BL56" s="1277"/>
      <c r="BM56" s="1277"/>
      <c r="BN56" s="1277"/>
      <c r="BO56" s="1277"/>
      <c r="BP56" s="1237"/>
    </row>
    <row r="57" spans="1:68" ht="20.100000000000001" customHeight="1">
      <c r="A57" s="1217">
        <v>17</v>
      </c>
      <c r="B57" s="1278" t="s">
        <v>54</v>
      </c>
      <c r="C57" s="1149">
        <v>148</v>
      </c>
      <c r="D57" s="1146">
        <v>103</v>
      </c>
      <c r="E57" s="1146">
        <v>0</v>
      </c>
      <c r="F57" s="1146">
        <v>0</v>
      </c>
      <c r="G57" s="1146">
        <v>42</v>
      </c>
      <c r="H57" s="1645">
        <v>0</v>
      </c>
      <c r="I57" s="1652">
        <v>0</v>
      </c>
      <c r="J57" s="1396">
        <v>0</v>
      </c>
      <c r="K57" s="1655">
        <v>0</v>
      </c>
      <c r="L57" s="1149">
        <v>5326</v>
      </c>
      <c r="M57" s="1146">
        <v>0</v>
      </c>
      <c r="N57" s="1269">
        <f t="shared" si="8"/>
        <v>5326</v>
      </c>
      <c r="O57" s="1270">
        <v>0</v>
      </c>
      <c r="P57" s="1150">
        <v>0</v>
      </c>
      <c r="Q57" s="1150">
        <v>0</v>
      </c>
      <c r="R57" s="1150">
        <v>0</v>
      </c>
      <c r="S57" s="1150">
        <v>151.5</v>
      </c>
      <c r="T57" s="1150">
        <v>0</v>
      </c>
      <c r="U57" s="1150">
        <v>0</v>
      </c>
      <c r="V57" s="1150">
        <v>0</v>
      </c>
      <c r="W57" s="1150">
        <v>0</v>
      </c>
      <c r="X57" s="1150">
        <v>0</v>
      </c>
      <c r="Y57" s="1150">
        <v>0</v>
      </c>
      <c r="Z57" s="1097">
        <f t="shared" si="7"/>
        <v>151.5</v>
      </c>
      <c r="AA57" s="1099">
        <v>0</v>
      </c>
      <c r="AB57" s="1396">
        <v>0</v>
      </c>
      <c r="AC57" s="1096">
        <v>0</v>
      </c>
      <c r="AD57" s="1096">
        <v>0</v>
      </c>
      <c r="AE57" s="1096">
        <v>0</v>
      </c>
      <c r="AF57" s="1095">
        <v>0</v>
      </c>
      <c r="AG57" s="1096">
        <v>979</v>
      </c>
      <c r="AH57" s="1400">
        <f t="shared" si="9"/>
        <v>979</v>
      </c>
      <c r="AI57" s="1272">
        <v>0</v>
      </c>
      <c r="AJ57" s="1273">
        <v>0</v>
      </c>
      <c r="AK57" s="1271">
        <v>155</v>
      </c>
      <c r="AL57" s="1274">
        <v>0</v>
      </c>
      <c r="AM57" s="1275">
        <v>979</v>
      </c>
      <c r="AN57" s="1276">
        <v>4921</v>
      </c>
      <c r="BC57" s="1155"/>
      <c r="BD57" s="1155"/>
      <c r="BE57" s="1155"/>
      <c r="BF57" s="1155"/>
      <c r="BG57" s="1155"/>
      <c r="BH57" s="1155"/>
      <c r="BI57" s="1155"/>
      <c r="BJ57" s="1277"/>
      <c r="BK57" s="1277"/>
      <c r="BL57" s="1277"/>
      <c r="BM57" s="1277"/>
      <c r="BN57" s="1277"/>
      <c r="BO57" s="1277"/>
      <c r="BP57" s="1237"/>
    </row>
    <row r="58" spans="1:68" ht="20.100000000000001" customHeight="1">
      <c r="A58" s="1217">
        <v>18</v>
      </c>
      <c r="B58" s="1278" t="s">
        <v>55</v>
      </c>
      <c r="C58" s="1149">
        <v>53</v>
      </c>
      <c r="D58" s="1146">
        <v>105</v>
      </c>
      <c r="E58" s="1146">
        <v>12.5</v>
      </c>
      <c r="F58" s="1146">
        <v>0</v>
      </c>
      <c r="G58" s="1146">
        <v>77</v>
      </c>
      <c r="H58" s="1645">
        <v>0</v>
      </c>
      <c r="I58" s="1652">
        <v>0</v>
      </c>
      <c r="J58" s="1396">
        <v>0</v>
      </c>
      <c r="K58" s="1655">
        <v>0</v>
      </c>
      <c r="L58" s="1149">
        <v>11220.7</v>
      </c>
      <c r="M58" s="1146">
        <v>0</v>
      </c>
      <c r="N58" s="1269">
        <f t="shared" si="8"/>
        <v>11220.7</v>
      </c>
      <c r="O58" s="1270">
        <v>0</v>
      </c>
      <c r="P58" s="1150">
        <v>0</v>
      </c>
      <c r="Q58" s="1150">
        <v>0</v>
      </c>
      <c r="R58" s="1150">
        <v>0</v>
      </c>
      <c r="S58" s="1150">
        <v>531.1</v>
      </c>
      <c r="T58" s="1150">
        <v>0</v>
      </c>
      <c r="U58" s="1150">
        <v>0</v>
      </c>
      <c r="V58" s="1150">
        <v>0</v>
      </c>
      <c r="W58" s="1150">
        <v>133.69999999999999</v>
      </c>
      <c r="X58" s="1150">
        <v>333.2</v>
      </c>
      <c r="Y58" s="1150">
        <v>0</v>
      </c>
      <c r="Z58" s="1097">
        <f t="shared" si="7"/>
        <v>998</v>
      </c>
      <c r="AA58" s="1099">
        <v>0</v>
      </c>
      <c r="AB58" s="1396">
        <v>0</v>
      </c>
      <c r="AC58" s="1096">
        <v>0</v>
      </c>
      <c r="AD58" s="1095">
        <v>0</v>
      </c>
      <c r="AE58" s="1095">
        <v>171</v>
      </c>
      <c r="AF58" s="1096">
        <v>247</v>
      </c>
      <c r="AG58" s="1096">
        <v>0</v>
      </c>
      <c r="AH58" s="1400">
        <f t="shared" si="9"/>
        <v>418</v>
      </c>
      <c r="AI58" s="1272">
        <v>0</v>
      </c>
      <c r="AJ58" s="1273">
        <v>0</v>
      </c>
      <c r="AK58" s="1271">
        <v>841</v>
      </c>
      <c r="AL58" s="1274">
        <v>593</v>
      </c>
      <c r="AM58" s="1275">
        <v>0</v>
      </c>
      <c r="AN58" s="1276">
        <v>10305</v>
      </c>
      <c r="BC58" s="1155"/>
      <c r="BD58" s="1155"/>
      <c r="BE58" s="1155"/>
      <c r="BF58" s="1155"/>
      <c r="BG58" s="1155"/>
      <c r="BH58" s="1155"/>
      <c r="BI58" s="1155"/>
      <c r="BJ58" s="1277"/>
      <c r="BK58" s="1277"/>
      <c r="BL58" s="1277"/>
      <c r="BM58" s="1277"/>
      <c r="BN58" s="1277"/>
      <c r="BO58" s="1277"/>
      <c r="BP58" s="1237"/>
    </row>
    <row r="59" spans="1:68" ht="20.100000000000001" customHeight="1">
      <c r="A59" s="1217">
        <v>19</v>
      </c>
      <c r="B59" s="1278" t="s">
        <v>59</v>
      </c>
      <c r="C59" s="1149">
        <v>0</v>
      </c>
      <c r="D59" s="1146">
        <v>200</v>
      </c>
      <c r="E59" s="1146">
        <v>0</v>
      </c>
      <c r="F59" s="1146">
        <v>0</v>
      </c>
      <c r="G59" s="1146">
        <v>25</v>
      </c>
      <c r="H59" s="1645">
        <v>0</v>
      </c>
      <c r="I59" s="1652">
        <v>0</v>
      </c>
      <c r="J59" s="1396">
        <v>0</v>
      </c>
      <c r="K59" s="1655">
        <v>0</v>
      </c>
      <c r="L59" s="1149">
        <v>8442.7999999999993</v>
      </c>
      <c r="M59" s="1146">
        <v>0</v>
      </c>
      <c r="N59" s="1269">
        <f t="shared" si="8"/>
        <v>8442.7999999999993</v>
      </c>
      <c r="O59" s="1270">
        <v>0</v>
      </c>
      <c r="P59" s="1150">
        <v>0</v>
      </c>
      <c r="Q59" s="1150">
        <v>0</v>
      </c>
      <c r="R59" s="1150">
        <v>0</v>
      </c>
      <c r="S59" s="1150">
        <v>281.3</v>
      </c>
      <c r="T59" s="1150">
        <v>0</v>
      </c>
      <c r="U59" s="1150">
        <v>0</v>
      </c>
      <c r="V59" s="1150">
        <v>0</v>
      </c>
      <c r="W59" s="1150">
        <v>33.200000000000003</v>
      </c>
      <c r="X59" s="1150">
        <v>49.1</v>
      </c>
      <c r="Y59" s="1150">
        <v>0</v>
      </c>
      <c r="Z59" s="1097">
        <f t="shared" si="7"/>
        <v>363.6</v>
      </c>
      <c r="AA59" s="1099">
        <v>0</v>
      </c>
      <c r="AB59" s="1396">
        <v>0</v>
      </c>
      <c r="AC59" s="1096">
        <v>0</v>
      </c>
      <c r="AD59" s="1095">
        <v>0</v>
      </c>
      <c r="AE59" s="1095">
        <v>108</v>
      </c>
      <c r="AF59" s="1095">
        <v>50</v>
      </c>
      <c r="AG59" s="1096">
        <v>1927</v>
      </c>
      <c r="AH59" s="1400">
        <f t="shared" si="9"/>
        <v>2085</v>
      </c>
      <c r="AI59" s="1272">
        <v>0</v>
      </c>
      <c r="AJ59" s="1273">
        <v>0</v>
      </c>
      <c r="AK59" s="1271">
        <v>423</v>
      </c>
      <c r="AL59" s="1274">
        <v>101</v>
      </c>
      <c r="AM59" s="1275">
        <v>1927</v>
      </c>
      <c r="AN59" s="1276">
        <v>8101</v>
      </c>
      <c r="BC59" s="1155"/>
      <c r="BD59" s="1155"/>
      <c r="BE59" s="1155"/>
      <c r="BF59" s="1155"/>
      <c r="BG59" s="1155"/>
      <c r="BH59" s="1155"/>
      <c r="BI59" s="1155"/>
      <c r="BJ59" s="1277"/>
      <c r="BK59" s="1277"/>
      <c r="BL59" s="1277"/>
      <c r="BM59" s="1277"/>
      <c r="BN59" s="1277"/>
      <c r="BO59" s="1277"/>
      <c r="BP59" s="1237"/>
    </row>
    <row r="60" spans="1:68" ht="30" customHeight="1" thickBot="1">
      <c r="A60" s="1280"/>
      <c r="B60" s="1281" t="s">
        <v>2</v>
      </c>
      <c r="C60" s="1282">
        <f>SUM(C41:C59)</f>
        <v>680</v>
      </c>
      <c r="D60" s="1282">
        <f t="shared" ref="D60:E60" si="10">SUM(D41:D59)</f>
        <v>1118</v>
      </c>
      <c r="E60" s="1282">
        <f t="shared" si="10"/>
        <v>171</v>
      </c>
      <c r="F60" s="1282">
        <f t="shared" ref="F60:M60" si="11">SUM(F41:F59)</f>
        <v>15</v>
      </c>
      <c r="G60" s="1283">
        <f t="shared" si="11"/>
        <v>829</v>
      </c>
      <c r="H60" s="1646">
        <f t="shared" si="11"/>
        <v>150</v>
      </c>
      <c r="I60" s="1651">
        <f t="shared" si="11"/>
        <v>14</v>
      </c>
      <c r="J60" s="1283">
        <f t="shared" si="11"/>
        <v>56</v>
      </c>
      <c r="K60" s="1286">
        <f t="shared" si="11"/>
        <v>25</v>
      </c>
      <c r="L60" s="1282">
        <f t="shared" si="11"/>
        <v>108945</v>
      </c>
      <c r="M60" s="1282">
        <f t="shared" si="11"/>
        <v>65</v>
      </c>
      <c r="N60" s="1284">
        <f t="shared" ref="N60" si="12">SUM(N41:N59)</f>
        <v>109010</v>
      </c>
      <c r="O60" s="1285">
        <f t="shared" ref="O60:AN60" si="13">SUM(O41:O59)</f>
        <v>1519.6</v>
      </c>
      <c r="P60" s="1283">
        <f t="shared" si="13"/>
        <v>394.2</v>
      </c>
      <c r="Q60" s="1283">
        <f t="shared" si="13"/>
        <v>1121.3999999999999</v>
      </c>
      <c r="R60" s="1283">
        <f t="shared" si="13"/>
        <v>84</v>
      </c>
      <c r="S60" s="1283">
        <f t="shared" si="13"/>
        <v>2465.3000000000002</v>
      </c>
      <c r="T60" s="1283">
        <f t="shared" si="13"/>
        <v>145.1</v>
      </c>
      <c r="U60" s="1283">
        <f t="shared" si="13"/>
        <v>351.3</v>
      </c>
      <c r="V60" s="1283">
        <f t="shared" si="13"/>
        <v>94.5</v>
      </c>
      <c r="W60" s="1283">
        <f t="shared" si="13"/>
        <v>392.9</v>
      </c>
      <c r="X60" s="1283">
        <f t="shared" si="13"/>
        <v>787.2</v>
      </c>
      <c r="Y60" s="1283">
        <f t="shared" si="13"/>
        <v>638</v>
      </c>
      <c r="Z60" s="1286">
        <f t="shared" si="13"/>
        <v>7993.5</v>
      </c>
      <c r="AA60" s="1285">
        <f t="shared" si="13"/>
        <v>165</v>
      </c>
      <c r="AB60" s="1283">
        <f t="shared" si="13"/>
        <v>71.600000000000009</v>
      </c>
      <c r="AC60" s="1283">
        <f t="shared" si="13"/>
        <v>50</v>
      </c>
      <c r="AD60" s="1283">
        <f>SUM(AD41:AD59)</f>
        <v>10</v>
      </c>
      <c r="AE60" s="1283">
        <f>SUM(AE41:AE59)</f>
        <v>840</v>
      </c>
      <c r="AF60" s="1283">
        <f>SUM(AF41:AF59)</f>
        <v>535</v>
      </c>
      <c r="AG60" s="1283">
        <f t="shared" ref="AG60" si="14">SUM(AG41:AG59)</f>
        <v>7862</v>
      </c>
      <c r="AH60" s="1286">
        <f t="shared" si="13"/>
        <v>9533.6</v>
      </c>
      <c r="AI60" s="1287">
        <f t="shared" si="13"/>
        <v>3981</v>
      </c>
      <c r="AJ60" s="1288">
        <f t="shared" si="13"/>
        <v>706</v>
      </c>
      <c r="AK60" s="1288">
        <f t="shared" si="13"/>
        <v>3777</v>
      </c>
      <c r="AL60" s="1288">
        <f t="shared" si="13"/>
        <v>1953</v>
      </c>
      <c r="AM60" s="1288">
        <f t="shared" si="13"/>
        <v>8500</v>
      </c>
      <c r="AN60" s="1289">
        <f t="shared" si="13"/>
        <v>97192</v>
      </c>
      <c r="BC60" s="1155"/>
      <c r="BD60" s="1155"/>
      <c r="BE60" s="1155"/>
      <c r="BF60" s="1155"/>
      <c r="BG60" s="1155"/>
      <c r="BH60" s="1155"/>
      <c r="BI60" s="1155"/>
      <c r="BJ60" s="1277"/>
      <c r="BK60" s="1277"/>
      <c r="BL60" s="1277"/>
      <c r="BM60" s="1277"/>
      <c r="BN60" s="1277"/>
      <c r="BO60" s="1277"/>
      <c r="BP60" s="1237"/>
    </row>
    <row r="61" spans="1:68" s="1290" customFormat="1" ht="24.95" customHeight="1">
      <c r="B61" s="1291" t="s">
        <v>101</v>
      </c>
      <c r="C61" s="1147">
        <v>680</v>
      </c>
      <c r="D61" s="1147">
        <v>1118</v>
      </c>
      <c r="E61" s="1147">
        <v>171</v>
      </c>
      <c r="F61" s="1147">
        <v>15</v>
      </c>
      <c r="G61" s="1147">
        <v>829</v>
      </c>
      <c r="H61" s="1147">
        <v>150</v>
      </c>
      <c r="I61" s="1656">
        <v>14</v>
      </c>
      <c r="J61" s="1657">
        <f>50+6</f>
        <v>56</v>
      </c>
      <c r="K61" s="1657">
        <v>25</v>
      </c>
      <c r="L61" s="1147">
        <v>108945</v>
      </c>
      <c r="M61" s="1147">
        <f>36+29</f>
        <v>65</v>
      </c>
      <c r="N61" s="1147">
        <f>SUM(L61:M61)</f>
        <v>109010</v>
      </c>
      <c r="O61" s="1292">
        <v>1519.6</v>
      </c>
      <c r="P61" s="1292">
        <v>394.2</v>
      </c>
      <c r="Q61" s="1292">
        <v>1121.3999999999999</v>
      </c>
      <c r="R61" s="1292">
        <v>84</v>
      </c>
      <c r="S61" s="1292">
        <v>2465.3000000000002</v>
      </c>
      <c r="T61" s="1292">
        <v>145.1</v>
      </c>
      <c r="U61" s="1292">
        <v>351.3</v>
      </c>
      <c r="V61" s="1292">
        <v>94.5</v>
      </c>
      <c r="W61" s="1292">
        <v>392.9</v>
      </c>
      <c r="X61" s="1292">
        <v>787.2</v>
      </c>
      <c r="Y61" s="1292">
        <v>638</v>
      </c>
      <c r="Z61" s="1293">
        <v>7993.5</v>
      </c>
      <c r="AA61" s="1402">
        <v>165</v>
      </c>
      <c r="AB61" s="1403">
        <v>71.600000000000009</v>
      </c>
      <c r="AC61" s="1402">
        <v>50</v>
      </c>
      <c r="AD61" s="1402">
        <v>10</v>
      </c>
      <c r="AE61" s="1402">
        <v>840</v>
      </c>
      <c r="AF61" s="1402">
        <v>535</v>
      </c>
      <c r="AG61" s="1402">
        <v>7862</v>
      </c>
      <c r="AH61" s="1403">
        <v>9533.6</v>
      </c>
      <c r="AI61" s="1295">
        <v>3981</v>
      </c>
      <c r="AJ61" s="1295">
        <v>706</v>
      </c>
      <c r="AK61" s="1295">
        <v>3777</v>
      </c>
      <c r="AL61" s="1296">
        <v>1953</v>
      </c>
      <c r="AM61" s="1297">
        <v>8500</v>
      </c>
      <c r="AN61" s="1294">
        <v>97192</v>
      </c>
      <c r="BC61" s="1155"/>
      <c r="BD61" s="1155"/>
      <c r="BE61" s="1155"/>
      <c r="BF61" s="1155"/>
      <c r="BG61" s="1155"/>
      <c r="BH61" s="1154"/>
      <c r="BI61" s="1154"/>
      <c r="BJ61" s="1154"/>
      <c r="BK61" s="1154"/>
      <c r="BL61" s="1154"/>
      <c r="BM61" s="1154"/>
    </row>
    <row r="62" spans="1:68"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AM62" s="1293"/>
      <c r="BC62" s="1298"/>
      <c r="BN62" s="1193"/>
      <c r="BO62" s="1193"/>
      <c r="BP62" s="1193"/>
    </row>
    <row r="63" spans="1:68" ht="20.100000000000001" customHeight="1">
      <c r="A63" s="1235" t="s">
        <v>326</v>
      </c>
      <c r="BN63" s="1193"/>
      <c r="BO63" s="1193"/>
      <c r="BP63" s="1193"/>
    </row>
    <row r="65" spans="1:68" ht="20.100000000000001" customHeight="1">
      <c r="A65" s="1204" t="s">
        <v>317</v>
      </c>
      <c r="BN65" s="1193"/>
      <c r="BO65" s="1193"/>
      <c r="BP65" s="1193"/>
    </row>
    <row r="66" spans="1:68" ht="20.100000000000001" customHeight="1">
      <c r="A66" s="1205">
        <v>1</v>
      </c>
      <c r="B66" s="1205">
        <v>2</v>
      </c>
      <c r="C66" s="1205">
        <v>3</v>
      </c>
      <c r="D66" s="1205">
        <v>4</v>
      </c>
      <c r="E66" s="1205">
        <v>5</v>
      </c>
      <c r="F66" s="1205">
        <v>6</v>
      </c>
      <c r="G66" s="1205">
        <v>7</v>
      </c>
      <c r="H66" s="1205">
        <v>8</v>
      </c>
      <c r="I66" s="1205">
        <v>9</v>
      </c>
      <c r="J66" s="1205">
        <v>10</v>
      </c>
      <c r="K66" s="1205">
        <v>11</v>
      </c>
      <c r="L66" s="1205">
        <v>12</v>
      </c>
      <c r="M66" s="1205">
        <v>13</v>
      </c>
      <c r="N66" s="1205">
        <v>14</v>
      </c>
      <c r="O66" s="1205">
        <v>15</v>
      </c>
      <c r="P66" s="1205">
        <v>16</v>
      </c>
      <c r="Q66" s="1205">
        <v>17</v>
      </c>
      <c r="R66" s="1205">
        <v>18</v>
      </c>
      <c r="S66" s="1205">
        <v>19</v>
      </c>
      <c r="T66" s="1205">
        <v>20</v>
      </c>
      <c r="U66" s="1205">
        <v>21</v>
      </c>
      <c r="V66" s="1205">
        <v>22</v>
      </c>
      <c r="W66" s="1205">
        <v>23</v>
      </c>
      <c r="X66" s="1205">
        <v>24</v>
      </c>
      <c r="Y66" s="1205">
        <v>25</v>
      </c>
      <c r="Z66" s="1205">
        <v>26</v>
      </c>
      <c r="AA66" s="1205">
        <v>27</v>
      </c>
      <c r="AB66" s="1205">
        <v>28</v>
      </c>
      <c r="AC66" s="1205">
        <v>29</v>
      </c>
      <c r="AD66" s="1205">
        <v>30</v>
      </c>
      <c r="AE66" s="1205">
        <v>31</v>
      </c>
      <c r="AF66" s="1205">
        <v>32</v>
      </c>
      <c r="AG66" s="1205">
        <v>33</v>
      </c>
      <c r="AH66" s="1205">
        <v>34</v>
      </c>
      <c r="AI66" s="1205">
        <v>35</v>
      </c>
      <c r="AJ66" s="1205">
        <v>36</v>
      </c>
      <c r="AK66" s="1205">
        <v>37</v>
      </c>
      <c r="AL66" s="1205">
        <v>38</v>
      </c>
      <c r="AM66" s="1205">
        <v>39</v>
      </c>
      <c r="AN66" s="1205">
        <v>40</v>
      </c>
      <c r="AO66" s="1205">
        <v>41</v>
      </c>
      <c r="AP66" s="1205">
        <v>42</v>
      </c>
      <c r="AQ66" s="1205">
        <v>43</v>
      </c>
      <c r="AR66" s="1205">
        <v>44</v>
      </c>
      <c r="AS66" s="1205">
        <v>45</v>
      </c>
      <c r="AT66" s="1205">
        <v>46</v>
      </c>
      <c r="AU66" s="1205">
        <v>47</v>
      </c>
      <c r="AV66" s="1205">
        <v>48</v>
      </c>
      <c r="AW66" s="1205">
        <v>49</v>
      </c>
      <c r="AX66" s="1205">
        <v>50</v>
      </c>
      <c r="AY66" s="1205">
        <v>51</v>
      </c>
      <c r="AZ66" s="1205">
        <v>52</v>
      </c>
      <c r="BA66" s="1205">
        <v>53</v>
      </c>
      <c r="BB66" s="1205">
        <v>54</v>
      </c>
      <c r="BC66" s="1205">
        <v>55</v>
      </c>
      <c r="BD66" s="1205">
        <v>56</v>
      </c>
      <c r="BE66" s="1205">
        <v>57</v>
      </c>
      <c r="BF66" s="1205">
        <v>58</v>
      </c>
      <c r="BG66" s="1205">
        <v>59</v>
      </c>
      <c r="BH66" s="1205">
        <v>60</v>
      </c>
      <c r="BI66" s="1205">
        <v>61</v>
      </c>
      <c r="BJ66" s="1205">
        <v>62</v>
      </c>
      <c r="BK66" s="1205">
        <v>63</v>
      </c>
      <c r="BL66" s="1205">
        <v>64</v>
      </c>
      <c r="BM66" s="1205">
        <v>65</v>
      </c>
      <c r="BN66" s="1193"/>
      <c r="BO66" s="1193"/>
      <c r="BP66" s="1193"/>
    </row>
    <row r="67" spans="1:68" ht="15.75" thickBot="1">
      <c r="AW67" s="1237"/>
      <c r="AX67" s="1237"/>
      <c r="AY67" s="1237"/>
      <c r="AZ67" s="1237"/>
      <c r="BA67" s="1237"/>
      <c r="BN67" s="1193"/>
      <c r="BO67" s="1193"/>
      <c r="BP67" s="1193"/>
    </row>
    <row r="68" spans="1:68" ht="30" customHeight="1">
      <c r="A68" s="1206"/>
      <c r="B68" s="1299"/>
      <c r="C68" s="1955" t="s">
        <v>78</v>
      </c>
      <c r="D68" s="1931"/>
      <c r="E68" s="1931"/>
      <c r="F68" s="1931"/>
      <c r="G68" s="1931"/>
      <c r="H68" s="1931"/>
      <c r="I68" s="1931"/>
      <c r="J68" s="1931"/>
      <c r="K68" s="1931"/>
      <c r="L68" s="1931"/>
      <c r="M68" s="1931"/>
      <c r="N68" s="1931"/>
      <c r="O68" s="1931"/>
      <c r="P68" s="1931"/>
      <c r="Q68" s="1931"/>
      <c r="R68" s="1931"/>
      <c r="S68" s="1931"/>
      <c r="T68" s="1931"/>
      <c r="U68" s="1931"/>
      <c r="V68" s="1931"/>
      <c r="W68" s="1931"/>
      <c r="X68" s="1931"/>
      <c r="Y68" s="1931"/>
      <c r="Z68" s="1931"/>
      <c r="AA68" s="1931"/>
      <c r="AB68" s="1931"/>
      <c r="AC68" s="1931"/>
      <c r="AD68" s="1931"/>
      <c r="AE68" s="1931"/>
      <c r="AF68" s="1931"/>
      <c r="AG68" s="1931"/>
      <c r="AH68" s="1931"/>
      <c r="AI68" s="1931"/>
      <c r="AJ68" s="1931"/>
      <c r="AK68" s="1931"/>
      <c r="AL68" s="1931"/>
      <c r="AM68" s="1931"/>
      <c r="AN68" s="1931"/>
      <c r="AO68" s="1931"/>
      <c r="AP68" s="1931"/>
      <c r="AQ68" s="1931"/>
      <c r="AR68" s="1932"/>
      <c r="AS68" s="1930" t="s">
        <v>299</v>
      </c>
      <c r="AT68" s="1931"/>
      <c r="AU68" s="1931"/>
      <c r="AV68" s="1931"/>
      <c r="AW68" s="1931"/>
      <c r="AX68" s="1931"/>
      <c r="AY68" s="1931"/>
      <c r="AZ68" s="1931"/>
      <c r="BA68" s="1931"/>
      <c r="BB68" s="1931"/>
      <c r="BC68" s="1931"/>
      <c r="BD68" s="1931"/>
      <c r="BE68" s="1931"/>
      <c r="BF68" s="1931"/>
      <c r="BG68" s="1931"/>
      <c r="BH68" s="1931"/>
      <c r="BI68" s="1931"/>
      <c r="BJ68" s="1931"/>
      <c r="BK68" s="1931"/>
      <c r="BL68" s="1931"/>
      <c r="BM68" s="1932"/>
      <c r="BN68" s="1193"/>
      <c r="BO68" s="1193"/>
      <c r="BP68" s="1193"/>
    </row>
    <row r="69" spans="1:68" ht="60" customHeight="1">
      <c r="A69" s="1300"/>
      <c r="B69" s="1301"/>
      <c r="C69" s="1948" t="s">
        <v>131</v>
      </c>
      <c r="D69" s="1956"/>
      <c r="E69" s="1939" t="s">
        <v>132</v>
      </c>
      <c r="F69" s="1940"/>
      <c r="G69" s="1948" t="s">
        <v>133</v>
      </c>
      <c r="H69" s="1956"/>
      <c r="I69" s="1957" t="s">
        <v>141</v>
      </c>
      <c r="J69" s="1940"/>
      <c r="K69" s="1948" t="s">
        <v>140</v>
      </c>
      <c r="L69" s="1956"/>
      <c r="M69" s="1939" t="s">
        <v>327</v>
      </c>
      <c r="N69" s="1948"/>
      <c r="O69" s="1939" t="s">
        <v>328</v>
      </c>
      <c r="P69" s="1940"/>
      <c r="Q69" s="1939" t="s">
        <v>301</v>
      </c>
      <c r="R69" s="1940"/>
      <c r="S69" s="1939" t="s">
        <v>142</v>
      </c>
      <c r="T69" s="1949"/>
      <c r="U69" s="1939" t="s">
        <v>329</v>
      </c>
      <c r="V69" s="1949"/>
      <c r="W69" s="1939" t="s">
        <v>143</v>
      </c>
      <c r="X69" s="1949"/>
      <c r="Y69" s="1939" t="s">
        <v>330</v>
      </c>
      <c r="Z69" s="1949"/>
      <c r="AA69" s="1939" t="s">
        <v>138</v>
      </c>
      <c r="AB69" s="1948"/>
      <c r="AC69" s="1963" t="s">
        <v>331</v>
      </c>
      <c r="AD69" s="1964"/>
      <c r="AE69" s="1950" t="s">
        <v>174</v>
      </c>
      <c r="AF69" s="1940"/>
      <c r="AG69" s="1939" t="s">
        <v>137</v>
      </c>
      <c r="AH69" s="1949"/>
      <c r="AI69" s="1939" t="s">
        <v>136</v>
      </c>
      <c r="AJ69" s="1949"/>
      <c r="AK69" s="1939" t="s">
        <v>135</v>
      </c>
      <c r="AL69" s="1949"/>
      <c r="AM69" s="1958" t="s">
        <v>134</v>
      </c>
      <c r="AN69" s="1959"/>
      <c r="AO69" s="1960" t="s">
        <v>2</v>
      </c>
      <c r="AP69" s="1961"/>
      <c r="AQ69" s="1962" t="s">
        <v>144</v>
      </c>
      <c r="AR69" s="1952"/>
      <c r="AS69" s="1302" t="s">
        <v>131</v>
      </c>
      <c r="AT69" s="1303" t="s">
        <v>132</v>
      </c>
      <c r="AU69" s="1303" t="s">
        <v>133</v>
      </c>
      <c r="AV69" s="1303" t="s">
        <v>141</v>
      </c>
      <c r="AW69" s="1303" t="s">
        <v>140</v>
      </c>
      <c r="AX69" s="1303" t="s">
        <v>139</v>
      </c>
      <c r="AY69" s="1303" t="s">
        <v>300</v>
      </c>
      <c r="AZ69" s="1303" t="s">
        <v>301</v>
      </c>
      <c r="BA69" s="1303" t="s">
        <v>142</v>
      </c>
      <c r="BB69" s="1928" t="s">
        <v>302</v>
      </c>
      <c r="BC69" s="1303" t="s">
        <v>303</v>
      </c>
      <c r="BD69" s="1303" t="s">
        <v>304</v>
      </c>
      <c r="BE69" s="1303" t="s">
        <v>305</v>
      </c>
      <c r="BF69" s="1304" t="s">
        <v>306</v>
      </c>
      <c r="BG69" s="1305" t="s">
        <v>174</v>
      </c>
      <c r="BH69" s="1303" t="s">
        <v>137</v>
      </c>
      <c r="BI69" s="1303" t="s">
        <v>136</v>
      </c>
      <c r="BJ69" s="1303" t="s">
        <v>135</v>
      </c>
      <c r="BK69" s="1303" t="s">
        <v>307</v>
      </c>
      <c r="BL69" s="1306" t="s">
        <v>2</v>
      </c>
      <c r="BM69" s="1307" t="s">
        <v>308</v>
      </c>
      <c r="BN69" s="1193"/>
      <c r="BO69" s="1193"/>
      <c r="BP69" s="1193"/>
    </row>
    <row r="70" spans="1:68" ht="24.95" customHeight="1">
      <c r="A70" s="1300"/>
      <c r="B70" s="1308" t="s">
        <v>145</v>
      </c>
      <c r="C70" s="1309" t="s">
        <v>43</v>
      </c>
      <c r="D70" s="1310" t="s">
        <v>32</v>
      </c>
      <c r="E70" s="1310" t="s">
        <v>43</v>
      </c>
      <c r="F70" s="1310" t="s">
        <v>32</v>
      </c>
      <c r="G70" s="1310" t="s">
        <v>43</v>
      </c>
      <c r="H70" s="1310" t="s">
        <v>32</v>
      </c>
      <c r="I70" s="1310" t="s">
        <v>43</v>
      </c>
      <c r="J70" s="1310" t="s">
        <v>32</v>
      </c>
      <c r="K70" s="1310" t="s">
        <v>43</v>
      </c>
      <c r="L70" s="1310" t="s">
        <v>32</v>
      </c>
      <c r="M70" s="1310" t="s">
        <v>43</v>
      </c>
      <c r="N70" s="1310" t="s">
        <v>32</v>
      </c>
      <c r="O70" s="1310" t="s">
        <v>43</v>
      </c>
      <c r="P70" s="1310" t="s">
        <v>32</v>
      </c>
      <c r="Q70" s="1310" t="s">
        <v>43</v>
      </c>
      <c r="R70" s="1310" t="s">
        <v>32</v>
      </c>
      <c r="S70" s="1310" t="s">
        <v>43</v>
      </c>
      <c r="T70" s="1310" t="s">
        <v>32</v>
      </c>
      <c r="U70" s="1310" t="s">
        <v>43</v>
      </c>
      <c r="V70" s="1310" t="s">
        <v>32</v>
      </c>
      <c r="W70" s="1310" t="s">
        <v>43</v>
      </c>
      <c r="X70" s="1310" t="s">
        <v>32</v>
      </c>
      <c r="Y70" s="1310" t="s">
        <v>43</v>
      </c>
      <c r="Z70" s="1310" t="s">
        <v>32</v>
      </c>
      <c r="AA70" s="1310" t="s">
        <v>43</v>
      </c>
      <c r="AB70" s="1310" t="s">
        <v>32</v>
      </c>
      <c r="AC70" s="1310" t="s">
        <v>43</v>
      </c>
      <c r="AD70" s="1310" t="s">
        <v>32</v>
      </c>
      <c r="AE70" s="1310" t="s">
        <v>43</v>
      </c>
      <c r="AF70" s="1310" t="s">
        <v>32</v>
      </c>
      <c r="AG70" s="1310" t="s">
        <v>43</v>
      </c>
      <c r="AH70" s="1310" t="s">
        <v>32</v>
      </c>
      <c r="AI70" s="1310" t="s">
        <v>43</v>
      </c>
      <c r="AJ70" s="1310" t="s">
        <v>32</v>
      </c>
      <c r="AK70" s="1310" t="s">
        <v>43</v>
      </c>
      <c r="AL70" s="1310" t="s">
        <v>32</v>
      </c>
      <c r="AM70" s="1310" t="s">
        <v>43</v>
      </c>
      <c r="AN70" s="1310" t="s">
        <v>32</v>
      </c>
      <c r="AO70" s="1310" t="s">
        <v>43</v>
      </c>
      <c r="AP70" s="1311" t="s">
        <v>32</v>
      </c>
      <c r="AQ70" s="1312" t="s">
        <v>43</v>
      </c>
      <c r="AR70" s="1311" t="s">
        <v>32</v>
      </c>
      <c r="AS70" s="1259"/>
      <c r="AT70" s="1260"/>
      <c r="AU70" s="1260"/>
      <c r="AV70" s="1260"/>
      <c r="AW70" s="1260"/>
      <c r="AX70" s="1260"/>
      <c r="AY70" s="1260"/>
      <c r="AZ70" s="1260"/>
      <c r="BA70" s="1260"/>
      <c r="BB70" s="1929"/>
      <c r="BC70" s="1260"/>
      <c r="BD70" s="1260"/>
      <c r="BE70" s="1260"/>
      <c r="BF70" s="1260"/>
      <c r="BG70" s="1260"/>
      <c r="BH70" s="1260"/>
      <c r="BI70" s="1260"/>
      <c r="BJ70" s="1260"/>
      <c r="BK70" s="1260"/>
      <c r="BL70" s="1261"/>
      <c r="BM70" s="1313"/>
      <c r="BN70" s="1193"/>
      <c r="BO70" s="1193"/>
      <c r="BP70" s="1193"/>
    </row>
    <row r="71" spans="1:68" ht="24.95" customHeight="1">
      <c r="A71" s="1314"/>
      <c r="B71" s="1315"/>
      <c r="C71" s="1309" t="s">
        <v>18</v>
      </c>
      <c r="D71" s="1261" t="s">
        <v>18</v>
      </c>
      <c r="E71" s="1260" t="s">
        <v>18</v>
      </c>
      <c r="F71" s="1261" t="s">
        <v>18</v>
      </c>
      <c r="G71" s="1260" t="s">
        <v>18</v>
      </c>
      <c r="H71" s="1259" t="s">
        <v>18</v>
      </c>
      <c r="I71" s="1259" t="s">
        <v>18</v>
      </c>
      <c r="J71" s="1259" t="s">
        <v>18</v>
      </c>
      <c r="K71" s="1259" t="s">
        <v>18</v>
      </c>
      <c r="L71" s="1259" t="s">
        <v>18</v>
      </c>
      <c r="M71" s="1259" t="s">
        <v>18</v>
      </c>
      <c r="N71" s="1259" t="s">
        <v>18</v>
      </c>
      <c r="O71" s="1259" t="s">
        <v>18</v>
      </c>
      <c r="P71" s="1260" t="s">
        <v>18</v>
      </c>
      <c r="Q71" s="1259" t="s">
        <v>18</v>
      </c>
      <c r="R71" s="1259" t="s">
        <v>18</v>
      </c>
      <c r="S71" s="1259" t="s">
        <v>18</v>
      </c>
      <c r="T71" s="1259" t="s">
        <v>18</v>
      </c>
      <c r="U71" s="1259" t="s">
        <v>18</v>
      </c>
      <c r="V71" s="1259" t="s">
        <v>18</v>
      </c>
      <c r="W71" s="1260" t="s">
        <v>18</v>
      </c>
      <c r="X71" s="1261" t="s">
        <v>18</v>
      </c>
      <c r="Y71" s="1260" t="s">
        <v>18</v>
      </c>
      <c r="Z71" s="1260" t="s">
        <v>18</v>
      </c>
      <c r="AA71" s="1260" t="s">
        <v>18</v>
      </c>
      <c r="AB71" s="1260" t="s">
        <v>18</v>
      </c>
      <c r="AC71" s="1260" t="s">
        <v>18</v>
      </c>
      <c r="AD71" s="1260" t="s">
        <v>18</v>
      </c>
      <c r="AE71" s="1260" t="s">
        <v>18</v>
      </c>
      <c r="AF71" s="1260" t="s">
        <v>18</v>
      </c>
      <c r="AG71" s="1259" t="s">
        <v>18</v>
      </c>
      <c r="AH71" s="1260" t="s">
        <v>18</v>
      </c>
      <c r="AI71" s="1260" t="s">
        <v>18</v>
      </c>
      <c r="AJ71" s="1260" t="s">
        <v>18</v>
      </c>
      <c r="AK71" s="1260" t="s">
        <v>18</v>
      </c>
      <c r="AL71" s="1260" t="s">
        <v>18</v>
      </c>
      <c r="AM71" s="1261" t="s">
        <v>18</v>
      </c>
      <c r="AN71" s="1260" t="s">
        <v>18</v>
      </c>
      <c r="AO71" s="1261" t="s">
        <v>18</v>
      </c>
      <c r="AP71" s="1262" t="s">
        <v>18</v>
      </c>
      <c r="AQ71" s="1259" t="s">
        <v>18</v>
      </c>
      <c r="AR71" s="1262" t="s">
        <v>18</v>
      </c>
      <c r="AS71" s="1259" t="s">
        <v>18</v>
      </c>
      <c r="AT71" s="1309" t="s">
        <v>18</v>
      </c>
      <c r="AU71" s="1260" t="s">
        <v>18</v>
      </c>
      <c r="AV71" s="1261" t="s">
        <v>18</v>
      </c>
      <c r="AW71" s="1260" t="s">
        <v>18</v>
      </c>
      <c r="AX71" s="1259" t="s">
        <v>18</v>
      </c>
      <c r="AY71" s="1259" t="s">
        <v>18</v>
      </c>
      <c r="AZ71" s="1259" t="s">
        <v>18</v>
      </c>
      <c r="BA71" s="1259" t="s">
        <v>18</v>
      </c>
      <c r="BB71" s="1259" t="s">
        <v>18</v>
      </c>
      <c r="BC71" s="1259" t="s">
        <v>18</v>
      </c>
      <c r="BD71" s="1259" t="s">
        <v>18</v>
      </c>
      <c r="BE71" s="1259" t="s">
        <v>18</v>
      </c>
      <c r="BF71" s="1260" t="s">
        <v>18</v>
      </c>
      <c r="BG71" s="1259" t="s">
        <v>18</v>
      </c>
      <c r="BH71" s="1259" t="s">
        <v>18</v>
      </c>
      <c r="BI71" s="1259" t="s">
        <v>18</v>
      </c>
      <c r="BJ71" s="1259" t="s">
        <v>18</v>
      </c>
      <c r="BK71" s="1259" t="s">
        <v>18</v>
      </c>
      <c r="BL71" s="1309" t="s">
        <v>18</v>
      </c>
      <c r="BM71" s="1313" t="s">
        <v>18</v>
      </c>
      <c r="BN71" s="1193"/>
      <c r="BO71" s="1193"/>
      <c r="BP71" s="1193"/>
    </row>
    <row r="72" spans="1:68" ht="24.95" customHeight="1">
      <c r="A72" s="1316"/>
      <c r="B72" s="1209"/>
      <c r="C72" s="1317">
        <v>1</v>
      </c>
      <c r="D72" s="1318">
        <v>2</v>
      </c>
      <c r="E72" s="1135">
        <v>3</v>
      </c>
      <c r="F72" s="1136">
        <v>4</v>
      </c>
      <c r="G72" s="1136">
        <v>5</v>
      </c>
      <c r="H72" s="1136">
        <v>6</v>
      </c>
      <c r="I72" s="1136">
        <v>7</v>
      </c>
      <c r="J72" s="1136">
        <v>8</v>
      </c>
      <c r="K72" s="1317">
        <v>9</v>
      </c>
      <c r="L72" s="1318">
        <v>10</v>
      </c>
      <c r="M72" s="1135">
        <v>11</v>
      </c>
      <c r="N72" s="1136">
        <v>12</v>
      </c>
      <c r="O72" s="1136">
        <v>13</v>
      </c>
      <c r="P72" s="1136">
        <v>14</v>
      </c>
      <c r="Q72" s="1136">
        <v>15</v>
      </c>
      <c r="R72" s="1136">
        <v>16</v>
      </c>
      <c r="S72" s="1317">
        <v>17</v>
      </c>
      <c r="T72" s="1318">
        <v>18</v>
      </c>
      <c r="U72" s="1135">
        <v>19</v>
      </c>
      <c r="V72" s="1136">
        <v>20</v>
      </c>
      <c r="W72" s="1136">
        <v>21</v>
      </c>
      <c r="X72" s="1136">
        <v>22</v>
      </c>
      <c r="Y72" s="1136">
        <v>23</v>
      </c>
      <c r="Z72" s="1136">
        <v>24</v>
      </c>
      <c r="AA72" s="1317">
        <v>25</v>
      </c>
      <c r="AB72" s="1318">
        <v>26</v>
      </c>
      <c r="AC72" s="1135">
        <v>27</v>
      </c>
      <c r="AD72" s="1136">
        <v>28</v>
      </c>
      <c r="AE72" s="1136">
        <v>29</v>
      </c>
      <c r="AF72" s="1136">
        <v>30</v>
      </c>
      <c r="AG72" s="1136">
        <v>31</v>
      </c>
      <c r="AH72" s="1136">
        <v>32</v>
      </c>
      <c r="AI72" s="1317">
        <v>33</v>
      </c>
      <c r="AJ72" s="1318">
        <v>34</v>
      </c>
      <c r="AK72" s="1135">
        <v>35</v>
      </c>
      <c r="AL72" s="1136">
        <v>36</v>
      </c>
      <c r="AM72" s="1136">
        <v>37</v>
      </c>
      <c r="AN72" s="1136">
        <v>38</v>
      </c>
      <c r="AO72" s="1319">
        <v>39</v>
      </c>
      <c r="AP72" s="1138">
        <v>40</v>
      </c>
      <c r="AQ72" s="1317">
        <v>41</v>
      </c>
      <c r="AR72" s="1138">
        <v>42</v>
      </c>
      <c r="AS72" s="1137">
        <v>43</v>
      </c>
      <c r="AT72" s="1137">
        <v>44</v>
      </c>
      <c r="AU72" s="1136">
        <v>45</v>
      </c>
      <c r="AV72" s="1136">
        <v>46</v>
      </c>
      <c r="AW72" s="1136">
        <v>47</v>
      </c>
      <c r="AX72" s="1136">
        <v>48</v>
      </c>
      <c r="AY72" s="1320">
        <v>49</v>
      </c>
      <c r="AZ72" s="1135">
        <v>50</v>
      </c>
      <c r="BA72" s="1135">
        <v>51</v>
      </c>
      <c r="BB72" s="1136">
        <v>52</v>
      </c>
      <c r="BC72" s="1136">
        <v>53</v>
      </c>
      <c r="BD72" s="1136">
        <v>54</v>
      </c>
      <c r="BE72" s="1136">
        <v>55</v>
      </c>
      <c r="BF72" s="1136">
        <v>56</v>
      </c>
      <c r="BG72" s="1320">
        <v>57</v>
      </c>
      <c r="BH72" s="1135">
        <v>58</v>
      </c>
      <c r="BI72" s="1135">
        <v>59</v>
      </c>
      <c r="BJ72" s="1136">
        <v>60</v>
      </c>
      <c r="BK72" s="1136">
        <v>61</v>
      </c>
      <c r="BL72" s="1135">
        <v>62</v>
      </c>
      <c r="BM72" s="1139">
        <v>63</v>
      </c>
      <c r="BN72" s="1193"/>
      <c r="BO72" s="1193"/>
      <c r="BP72" s="1193"/>
    </row>
    <row r="73" spans="1:68" ht="30" customHeight="1">
      <c r="A73" s="1321">
        <v>1</v>
      </c>
      <c r="B73" s="1322" t="s">
        <v>12</v>
      </c>
      <c r="C73" s="1323">
        <v>471.1</v>
      </c>
      <c r="D73" s="1323">
        <v>91.2</v>
      </c>
      <c r="E73" s="1323">
        <v>38</v>
      </c>
      <c r="F73" s="1323">
        <v>18</v>
      </c>
      <c r="G73" s="1323">
        <v>289.39999999999998</v>
      </c>
      <c r="H73" s="1323">
        <v>72.599999999999994</v>
      </c>
      <c r="I73" s="1323">
        <v>93</v>
      </c>
      <c r="J73" s="1323">
        <v>42</v>
      </c>
      <c r="K73" s="1323">
        <v>1563</v>
      </c>
      <c r="L73" s="1323">
        <v>237.3</v>
      </c>
      <c r="M73" s="1323">
        <v>116</v>
      </c>
      <c r="N73" s="1323">
        <v>79.5</v>
      </c>
      <c r="O73" s="1323">
        <v>15</v>
      </c>
      <c r="P73" s="1323">
        <v>6</v>
      </c>
      <c r="Q73" s="1323">
        <v>1211</v>
      </c>
      <c r="R73" s="1323">
        <v>193.47</v>
      </c>
      <c r="S73" s="1323">
        <v>420.45</v>
      </c>
      <c r="T73" s="1323">
        <v>23.8</v>
      </c>
      <c r="U73" s="1323">
        <v>29</v>
      </c>
      <c r="V73" s="1323">
        <v>7</v>
      </c>
      <c r="W73" s="1323">
        <v>0</v>
      </c>
      <c r="X73" s="1323">
        <v>0</v>
      </c>
      <c r="Y73" s="1323">
        <v>33</v>
      </c>
      <c r="Z73" s="1323">
        <v>31</v>
      </c>
      <c r="AA73" s="1323">
        <v>39</v>
      </c>
      <c r="AB73" s="1323">
        <v>41.4</v>
      </c>
      <c r="AC73" s="1323">
        <v>6</v>
      </c>
      <c r="AD73" s="1323">
        <v>11</v>
      </c>
      <c r="AE73" s="1323">
        <v>0</v>
      </c>
      <c r="AF73" s="1323">
        <v>0</v>
      </c>
      <c r="AG73" s="1323">
        <v>590</v>
      </c>
      <c r="AH73" s="1323">
        <v>34.5</v>
      </c>
      <c r="AI73" s="1323">
        <v>181.43</v>
      </c>
      <c r="AJ73" s="1323">
        <v>92.24</v>
      </c>
      <c r="AK73" s="1323">
        <v>812.17</v>
      </c>
      <c r="AL73" s="1323">
        <v>70.900000000000006</v>
      </c>
      <c r="AM73" s="1323">
        <v>145</v>
      </c>
      <c r="AN73" s="1324">
        <v>78.75</v>
      </c>
      <c r="AO73" s="1325">
        <v>6052.55</v>
      </c>
      <c r="AP73" s="1326">
        <v>1130.6600000000001</v>
      </c>
      <c r="AQ73" s="1327">
        <v>0</v>
      </c>
      <c r="AR73" s="1328">
        <v>0</v>
      </c>
      <c r="AS73" s="1329"/>
      <c r="AT73" s="1329"/>
      <c r="AU73" s="1329"/>
      <c r="AV73" s="1329"/>
      <c r="AW73" s="1329"/>
      <c r="AX73" s="1329"/>
      <c r="AY73" s="1329"/>
      <c r="AZ73" s="1329"/>
      <c r="BA73" s="1329"/>
      <c r="BB73" s="1329"/>
      <c r="BC73" s="1329"/>
      <c r="BD73" s="1329"/>
      <c r="BE73" s="1329"/>
      <c r="BF73" s="1329"/>
      <c r="BG73" s="1329"/>
      <c r="BH73" s="1329"/>
      <c r="BI73" s="1329"/>
      <c r="BJ73" s="1329"/>
      <c r="BK73" s="1329"/>
      <c r="BL73" s="1330"/>
      <c r="BM73" s="1331"/>
      <c r="BN73" s="1193"/>
      <c r="BO73" s="1193"/>
      <c r="BP73" s="1193"/>
    </row>
    <row r="74" spans="1:68" ht="30" customHeight="1">
      <c r="A74" s="1321"/>
      <c r="B74" s="1332" t="s">
        <v>9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1333"/>
      <c r="AG74" s="1333"/>
      <c r="AH74" s="1333"/>
      <c r="AI74" s="1333"/>
      <c r="AJ74" s="1333"/>
      <c r="AK74" s="1333"/>
      <c r="AL74" s="1333"/>
      <c r="AM74" s="1333"/>
      <c r="AN74" s="1334"/>
      <c r="AO74" s="1335"/>
      <c r="AP74" s="1336"/>
      <c r="AQ74" s="1337"/>
      <c r="AR74" s="1338"/>
      <c r="AS74" s="1339"/>
      <c r="AT74" s="1339"/>
      <c r="AU74" s="1339"/>
      <c r="AV74" s="1339"/>
      <c r="AW74" s="1339"/>
      <c r="AX74" s="1339"/>
      <c r="AY74" s="1339"/>
      <c r="AZ74" s="1339"/>
      <c r="BA74" s="1339"/>
      <c r="BB74" s="1339"/>
      <c r="BC74" s="1339"/>
      <c r="BD74" s="1339"/>
      <c r="BE74" s="1339"/>
      <c r="BF74" s="1339"/>
      <c r="BG74" s="1339"/>
      <c r="BH74" s="1339"/>
      <c r="BI74" s="1339"/>
      <c r="BJ74" s="1339"/>
      <c r="BK74" s="1339"/>
      <c r="BL74" s="1340"/>
      <c r="BM74" s="1341"/>
      <c r="BN74" s="1193"/>
      <c r="BO74" s="1193"/>
      <c r="BP74" s="1193"/>
    </row>
    <row r="75" spans="1:68" ht="24.95" customHeight="1">
      <c r="A75" s="1321"/>
      <c r="B75" s="1342" t="s">
        <v>83</v>
      </c>
      <c r="C75" s="1258"/>
      <c r="D75" s="1258"/>
      <c r="E75" s="1258"/>
      <c r="F75" s="1258"/>
      <c r="G75" s="1258"/>
      <c r="H75" s="1258"/>
      <c r="I75" s="1258"/>
      <c r="J75" s="1258"/>
      <c r="K75" s="1258"/>
      <c r="L75" s="1258"/>
      <c r="M75" s="1258"/>
      <c r="N75" s="1258"/>
      <c r="O75" s="1258"/>
      <c r="P75" s="1258"/>
      <c r="Q75" s="1258"/>
      <c r="R75" s="1258"/>
      <c r="S75" s="1258"/>
      <c r="T75" s="1258"/>
      <c r="U75" s="1258"/>
      <c r="V75" s="1258"/>
      <c r="W75" s="1258"/>
      <c r="X75" s="1258"/>
      <c r="Y75" s="1258"/>
      <c r="Z75" s="1258"/>
      <c r="AA75" s="1258"/>
      <c r="AB75" s="1258"/>
      <c r="AC75" s="1258"/>
      <c r="AD75" s="1258"/>
      <c r="AE75" s="1258"/>
      <c r="AF75" s="1258"/>
      <c r="AG75" s="1258"/>
      <c r="AH75" s="1258"/>
      <c r="AI75" s="1258"/>
      <c r="AJ75" s="1258"/>
      <c r="AK75" s="1258"/>
      <c r="AL75" s="1258"/>
      <c r="AM75" s="1258"/>
      <c r="AN75" s="1258"/>
      <c r="AO75" s="1335"/>
      <c r="AP75" s="1336"/>
      <c r="AQ75" s="1343"/>
      <c r="AR75" s="1344"/>
      <c r="AS75" s="1339"/>
      <c r="AT75" s="1339"/>
      <c r="AU75" s="1339"/>
      <c r="AV75" s="1339"/>
      <c r="AW75" s="1339"/>
      <c r="AX75" s="1339"/>
      <c r="AY75" s="1339"/>
      <c r="AZ75" s="1339"/>
      <c r="BA75" s="1339"/>
      <c r="BB75" s="1339"/>
      <c r="BC75" s="1339"/>
      <c r="BD75" s="1339"/>
      <c r="BE75" s="1339"/>
      <c r="BF75" s="1339"/>
      <c r="BG75" s="1339"/>
      <c r="BH75" s="1339"/>
      <c r="BI75" s="1339"/>
      <c r="BJ75" s="1339"/>
      <c r="BK75" s="1339"/>
      <c r="BL75" s="1340"/>
      <c r="BM75" s="1341"/>
      <c r="BN75" s="1193"/>
      <c r="BO75" s="1193"/>
      <c r="BP75" s="1193"/>
    </row>
    <row r="76" spans="1:68" ht="21.95" customHeight="1">
      <c r="A76" s="1345">
        <v>2</v>
      </c>
      <c r="B76" s="1346" t="s">
        <v>84</v>
      </c>
      <c r="C76" s="1347">
        <v>0</v>
      </c>
      <c r="D76" s="1347">
        <v>0</v>
      </c>
      <c r="E76" s="1347">
        <v>0</v>
      </c>
      <c r="F76" s="1347">
        <v>0</v>
      </c>
      <c r="G76" s="1347">
        <v>0</v>
      </c>
      <c r="H76" s="1347">
        <v>0</v>
      </c>
      <c r="I76" s="1347">
        <v>0</v>
      </c>
      <c r="J76" s="1347">
        <v>0</v>
      </c>
      <c r="K76" s="1347">
        <v>0</v>
      </c>
      <c r="L76" s="1347">
        <v>0</v>
      </c>
      <c r="M76" s="1347">
        <v>0</v>
      </c>
      <c r="N76" s="1347">
        <v>0</v>
      </c>
      <c r="O76" s="1347">
        <v>0</v>
      </c>
      <c r="P76" s="1347">
        <v>0</v>
      </c>
      <c r="Q76" s="1347">
        <v>0</v>
      </c>
      <c r="R76" s="1347">
        <v>0</v>
      </c>
      <c r="S76" s="1347">
        <v>0</v>
      </c>
      <c r="T76" s="1347">
        <v>0</v>
      </c>
      <c r="U76" s="1347">
        <v>0</v>
      </c>
      <c r="V76" s="1347">
        <v>0</v>
      </c>
      <c r="W76" s="1347">
        <v>0</v>
      </c>
      <c r="X76" s="1347">
        <v>0</v>
      </c>
      <c r="Y76" s="1347">
        <v>0</v>
      </c>
      <c r="Z76" s="1347">
        <v>0</v>
      </c>
      <c r="AA76" s="1347">
        <v>0</v>
      </c>
      <c r="AB76" s="1347">
        <v>0</v>
      </c>
      <c r="AC76" s="1347">
        <v>0</v>
      </c>
      <c r="AD76" s="1347">
        <v>0</v>
      </c>
      <c r="AE76" s="1347">
        <v>0</v>
      </c>
      <c r="AF76" s="1347">
        <v>0</v>
      </c>
      <c r="AG76" s="1347">
        <v>0</v>
      </c>
      <c r="AH76" s="1347">
        <v>0</v>
      </c>
      <c r="AI76" s="1347">
        <v>0</v>
      </c>
      <c r="AJ76" s="1347">
        <v>0</v>
      </c>
      <c r="AK76" s="1347">
        <v>0</v>
      </c>
      <c r="AL76" s="1347">
        <v>0</v>
      </c>
      <c r="AM76" s="1347">
        <v>98</v>
      </c>
      <c r="AN76" s="1347">
        <v>0</v>
      </c>
      <c r="AO76" s="1348">
        <v>98</v>
      </c>
      <c r="AP76" s="1349">
        <v>0</v>
      </c>
      <c r="AQ76" s="1350">
        <v>0</v>
      </c>
      <c r="AR76" s="1351">
        <v>0</v>
      </c>
      <c r="AS76" s="1352"/>
      <c r="AT76" s="1352"/>
      <c r="AU76" s="1352"/>
      <c r="AV76" s="1352"/>
      <c r="AW76" s="1352"/>
      <c r="AX76" s="1352"/>
      <c r="AY76" s="1352"/>
      <c r="AZ76" s="1352"/>
      <c r="BA76" s="1352"/>
      <c r="BB76" s="1352"/>
      <c r="BC76" s="1352"/>
      <c r="BD76" s="1352"/>
      <c r="BE76" s="1352"/>
      <c r="BF76" s="1352"/>
      <c r="BG76" s="1352"/>
      <c r="BH76" s="1352"/>
      <c r="BI76" s="1352"/>
      <c r="BJ76" s="1352"/>
      <c r="BK76" s="1352"/>
      <c r="BL76" s="1353"/>
      <c r="BM76" s="1354"/>
      <c r="BN76" s="1193"/>
      <c r="BO76" s="1193"/>
      <c r="BP76" s="1193"/>
    </row>
    <row r="77" spans="1:68" ht="24.95" customHeight="1">
      <c r="A77" s="1345">
        <v>3</v>
      </c>
      <c r="B77" s="1342" t="s">
        <v>85</v>
      </c>
      <c r="C77" s="1347">
        <v>495.9</v>
      </c>
      <c r="D77" s="1347">
        <v>59.5</v>
      </c>
      <c r="E77" s="1347">
        <v>67.5</v>
      </c>
      <c r="F77" s="1347">
        <v>39.835000000000001</v>
      </c>
      <c r="G77" s="1347">
        <v>381.63</v>
      </c>
      <c r="H77" s="1347">
        <v>481.11</v>
      </c>
      <c r="I77" s="1347">
        <v>525</v>
      </c>
      <c r="J77" s="1347">
        <v>204.84800000000001</v>
      </c>
      <c r="K77" s="1347">
        <v>162</v>
      </c>
      <c r="L77" s="1347">
        <v>30.1</v>
      </c>
      <c r="M77" s="1347">
        <v>317.5</v>
      </c>
      <c r="N77" s="1347">
        <v>140.94</v>
      </c>
      <c r="O77" s="1347">
        <v>185.5</v>
      </c>
      <c r="P77" s="1347">
        <v>3.5</v>
      </c>
      <c r="Q77" s="1347">
        <v>933.6</v>
      </c>
      <c r="R77" s="1347">
        <v>241.68</v>
      </c>
      <c r="S77" s="1347">
        <v>446.45</v>
      </c>
      <c r="T77" s="1347">
        <v>63.68</v>
      </c>
      <c r="U77" s="1347">
        <v>13</v>
      </c>
      <c r="V77" s="1347">
        <v>75.400000000000006</v>
      </c>
      <c r="W77" s="1347">
        <v>0</v>
      </c>
      <c r="X77" s="1347">
        <v>127.3338</v>
      </c>
      <c r="Y77" s="1347">
        <v>177</v>
      </c>
      <c r="Z77" s="1347">
        <v>138.19</v>
      </c>
      <c r="AA77" s="1347">
        <v>148.83000000000001</v>
      </c>
      <c r="AB77" s="1347">
        <v>142.49</v>
      </c>
      <c r="AC77" s="1347">
        <v>77</v>
      </c>
      <c r="AD77" s="1347">
        <v>4</v>
      </c>
      <c r="AE77" s="1347">
        <v>0</v>
      </c>
      <c r="AF77" s="1347">
        <v>14.5</v>
      </c>
      <c r="AG77" s="1347">
        <v>345</v>
      </c>
      <c r="AH77" s="1347">
        <v>29.78</v>
      </c>
      <c r="AI77" s="1347">
        <v>315.39</v>
      </c>
      <c r="AJ77" s="1347">
        <v>173.21</v>
      </c>
      <c r="AK77" s="1347">
        <v>421.78</v>
      </c>
      <c r="AL77" s="1347">
        <v>222.01</v>
      </c>
      <c r="AM77" s="1347">
        <v>272</v>
      </c>
      <c r="AN77" s="1347">
        <v>207.91666666666666</v>
      </c>
      <c r="AO77" s="1348">
        <v>5285.08</v>
      </c>
      <c r="AP77" s="1349">
        <v>2400.023466666667</v>
      </c>
      <c r="AQ77" s="1350">
        <v>0</v>
      </c>
      <c r="AR77" s="1351">
        <v>97.88</v>
      </c>
      <c r="AS77" s="1355">
        <v>0</v>
      </c>
      <c r="AT77" s="1355">
        <v>0</v>
      </c>
      <c r="AU77" s="1355">
        <v>0</v>
      </c>
      <c r="AV77" s="1355">
        <v>15</v>
      </c>
      <c r="AW77" s="1355">
        <v>51</v>
      </c>
      <c r="AX77" s="1355">
        <v>0</v>
      </c>
      <c r="AY77" s="1355">
        <v>0</v>
      </c>
      <c r="AZ77" s="1355">
        <v>33</v>
      </c>
      <c r="BA77" s="1355">
        <v>0</v>
      </c>
      <c r="BB77" s="1355">
        <v>0</v>
      </c>
      <c r="BC77" s="1355">
        <v>0</v>
      </c>
      <c r="BD77" s="1355">
        <v>0</v>
      </c>
      <c r="BE77" s="1355">
        <v>0</v>
      </c>
      <c r="BF77" s="1355">
        <v>0</v>
      </c>
      <c r="BG77" s="1355">
        <v>0</v>
      </c>
      <c r="BH77" s="1355">
        <v>0</v>
      </c>
      <c r="BI77" s="1355">
        <v>31</v>
      </c>
      <c r="BJ77" s="1355">
        <v>24</v>
      </c>
      <c r="BK77" s="1355">
        <v>0</v>
      </c>
      <c r="BL77" s="1356">
        <v>154</v>
      </c>
      <c r="BM77" s="1357">
        <v>0</v>
      </c>
      <c r="BN77" s="1193"/>
      <c r="BO77" s="1193"/>
      <c r="BP77" s="1193"/>
    </row>
    <row r="78" spans="1:68" ht="30" customHeight="1">
      <c r="A78" s="1321"/>
      <c r="B78" s="1342" t="s">
        <v>2</v>
      </c>
      <c r="C78" s="1348">
        <v>495.9</v>
      </c>
      <c r="D78" s="1348">
        <v>59.5</v>
      </c>
      <c r="E78" s="1348">
        <v>67.5</v>
      </c>
      <c r="F78" s="1348">
        <v>39.835000000000001</v>
      </c>
      <c r="G78" s="1348">
        <v>381.63</v>
      </c>
      <c r="H78" s="1348">
        <v>481.11</v>
      </c>
      <c r="I78" s="1348">
        <v>525</v>
      </c>
      <c r="J78" s="1348">
        <v>204.84800000000001</v>
      </c>
      <c r="K78" s="1348">
        <v>162</v>
      </c>
      <c r="L78" s="1348">
        <v>30.1</v>
      </c>
      <c r="M78" s="1348">
        <v>317.5</v>
      </c>
      <c r="N78" s="1348">
        <v>140.94</v>
      </c>
      <c r="O78" s="1348">
        <v>185.5</v>
      </c>
      <c r="P78" s="1348">
        <v>3.5</v>
      </c>
      <c r="Q78" s="1348">
        <v>933.6</v>
      </c>
      <c r="R78" s="1348">
        <v>241.68</v>
      </c>
      <c r="S78" s="1348">
        <v>446.45</v>
      </c>
      <c r="T78" s="1348">
        <v>63.68</v>
      </c>
      <c r="U78" s="1348">
        <v>13</v>
      </c>
      <c r="V78" s="1348">
        <v>75.400000000000006</v>
      </c>
      <c r="W78" s="1348">
        <v>0</v>
      </c>
      <c r="X78" s="1348">
        <v>127.3338</v>
      </c>
      <c r="Y78" s="1348">
        <v>177</v>
      </c>
      <c r="Z78" s="1348">
        <v>138.19</v>
      </c>
      <c r="AA78" s="1348">
        <v>148.83000000000001</v>
      </c>
      <c r="AB78" s="1348">
        <v>142.49</v>
      </c>
      <c r="AC78" s="1348">
        <v>77</v>
      </c>
      <c r="AD78" s="1348">
        <v>4</v>
      </c>
      <c r="AE78" s="1348">
        <v>0</v>
      </c>
      <c r="AF78" s="1348">
        <v>14.5</v>
      </c>
      <c r="AG78" s="1348">
        <v>345</v>
      </c>
      <c r="AH78" s="1348">
        <v>29.78</v>
      </c>
      <c r="AI78" s="1348">
        <v>315.39</v>
      </c>
      <c r="AJ78" s="1348">
        <v>173.21</v>
      </c>
      <c r="AK78" s="1348">
        <v>421.78</v>
      </c>
      <c r="AL78" s="1348">
        <v>222.01</v>
      </c>
      <c r="AM78" s="1348">
        <v>370</v>
      </c>
      <c r="AN78" s="1358">
        <v>207.91666666666666</v>
      </c>
      <c r="AO78" s="1348">
        <v>5383.08</v>
      </c>
      <c r="AP78" s="1349">
        <v>2400.023466666667</v>
      </c>
      <c r="AQ78" s="1359">
        <v>0</v>
      </c>
      <c r="AR78" s="1349">
        <v>97.88</v>
      </c>
      <c r="AS78" s="1352"/>
      <c r="AT78" s="1352"/>
      <c r="AU78" s="1352"/>
      <c r="AV78" s="1352"/>
      <c r="AW78" s="1352"/>
      <c r="AX78" s="1352"/>
      <c r="AY78" s="1352"/>
      <c r="AZ78" s="1352"/>
      <c r="BA78" s="1352"/>
      <c r="BB78" s="1352"/>
      <c r="BC78" s="1352"/>
      <c r="BD78" s="1352"/>
      <c r="BE78" s="1352"/>
      <c r="BF78" s="1352"/>
      <c r="BG78" s="1352"/>
      <c r="BH78" s="1352"/>
      <c r="BI78" s="1352"/>
      <c r="BJ78" s="1352"/>
      <c r="BK78" s="1352"/>
      <c r="BL78" s="1353"/>
      <c r="BM78" s="1354"/>
      <c r="BN78" s="1193"/>
      <c r="BO78" s="1193"/>
      <c r="BP78" s="1193"/>
    </row>
    <row r="79" spans="1:68" ht="30" customHeight="1">
      <c r="A79" s="1321"/>
      <c r="B79" s="1332" t="s">
        <v>10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1333"/>
      <c r="AG79" s="1333"/>
      <c r="AH79" s="1333"/>
      <c r="AI79" s="1333"/>
      <c r="AJ79" s="1333"/>
      <c r="AK79" s="1333"/>
      <c r="AL79" s="1333"/>
      <c r="AM79" s="1333"/>
      <c r="AN79" s="1334"/>
      <c r="AO79" s="1335"/>
      <c r="AP79" s="1336"/>
      <c r="AQ79" s="1337"/>
      <c r="AR79" s="1338"/>
      <c r="AS79" s="1352"/>
      <c r="AT79" s="1352"/>
      <c r="AU79" s="1352"/>
      <c r="AV79" s="1352"/>
      <c r="AW79" s="1352"/>
      <c r="AX79" s="1352"/>
      <c r="AY79" s="1352"/>
      <c r="AZ79" s="1352"/>
      <c r="BA79" s="1352"/>
      <c r="BB79" s="1352"/>
      <c r="BC79" s="1352"/>
      <c r="BD79" s="1352"/>
      <c r="BE79" s="1352"/>
      <c r="BF79" s="1352"/>
      <c r="BG79" s="1352"/>
      <c r="BH79" s="1352"/>
      <c r="BI79" s="1352"/>
      <c r="BJ79" s="1352"/>
      <c r="BK79" s="1352"/>
      <c r="BL79" s="1340"/>
      <c r="BM79" s="1354"/>
      <c r="BN79" s="1193"/>
      <c r="BO79" s="1193"/>
      <c r="BP79" s="1193"/>
    </row>
    <row r="80" spans="1:68" ht="24.95" customHeight="1">
      <c r="A80" s="1321"/>
      <c r="B80" s="1342" t="s">
        <v>83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1333"/>
      <c r="AG80" s="1333"/>
      <c r="AH80" s="1333"/>
      <c r="AI80" s="1333"/>
      <c r="AJ80" s="1333"/>
      <c r="AK80" s="1333"/>
      <c r="AL80" s="1333"/>
      <c r="AM80" s="1333"/>
      <c r="AN80" s="1334"/>
      <c r="AO80" s="1335"/>
      <c r="AP80" s="1336"/>
      <c r="AQ80" s="1337"/>
      <c r="AR80" s="1338"/>
      <c r="AS80" s="1352"/>
      <c r="AT80" s="1352"/>
      <c r="AU80" s="1352"/>
      <c r="AV80" s="1352"/>
      <c r="AW80" s="1352"/>
      <c r="AX80" s="1352"/>
      <c r="AY80" s="1352"/>
      <c r="AZ80" s="1352"/>
      <c r="BA80" s="1352"/>
      <c r="BB80" s="1352"/>
      <c r="BC80" s="1352"/>
      <c r="BD80" s="1352"/>
      <c r="BE80" s="1352"/>
      <c r="BF80" s="1352"/>
      <c r="BG80" s="1352"/>
      <c r="BH80" s="1352"/>
      <c r="BI80" s="1352"/>
      <c r="BJ80" s="1352"/>
      <c r="BK80" s="1352"/>
      <c r="BL80" s="1340"/>
      <c r="BM80" s="1354"/>
      <c r="BN80" s="1193"/>
      <c r="BO80" s="1193"/>
      <c r="BP80" s="1193"/>
    </row>
    <row r="81" spans="1:68" ht="21.95" customHeight="1">
      <c r="A81" s="1345">
        <v>4</v>
      </c>
      <c r="B81" s="1346" t="s">
        <v>86</v>
      </c>
      <c r="C81" s="1347">
        <v>176.7</v>
      </c>
      <c r="D81" s="1347">
        <v>48.900000000000006</v>
      </c>
      <c r="E81" s="1347">
        <v>0</v>
      </c>
      <c r="F81" s="1347">
        <v>0</v>
      </c>
      <c r="G81" s="1347">
        <v>173</v>
      </c>
      <c r="H81" s="1347">
        <v>17</v>
      </c>
      <c r="I81" s="1347">
        <v>0</v>
      </c>
      <c r="J81" s="1347">
        <v>0</v>
      </c>
      <c r="K81" s="1347">
        <v>113</v>
      </c>
      <c r="L81" s="1347">
        <v>0</v>
      </c>
      <c r="M81" s="1347">
        <v>0</v>
      </c>
      <c r="N81" s="1347">
        <v>0</v>
      </c>
      <c r="O81" s="1347">
        <v>0</v>
      </c>
      <c r="P81" s="1347">
        <v>0</v>
      </c>
      <c r="Q81" s="1347">
        <v>187</v>
      </c>
      <c r="R81" s="1347">
        <v>1</v>
      </c>
      <c r="S81" s="1347">
        <v>0</v>
      </c>
      <c r="T81" s="1347">
        <v>0</v>
      </c>
      <c r="U81" s="1347">
        <v>61</v>
      </c>
      <c r="V81" s="1347">
        <v>0</v>
      </c>
      <c r="W81" s="1347">
        <v>0</v>
      </c>
      <c r="X81" s="1347">
        <v>0</v>
      </c>
      <c r="Y81" s="1347">
        <v>0</v>
      </c>
      <c r="Z81" s="1347">
        <v>0</v>
      </c>
      <c r="AA81" s="1347">
        <v>0</v>
      </c>
      <c r="AB81" s="1347">
        <v>0</v>
      </c>
      <c r="AC81" s="1347">
        <v>0</v>
      </c>
      <c r="AD81" s="1347">
        <v>0</v>
      </c>
      <c r="AE81" s="1347">
        <v>0</v>
      </c>
      <c r="AF81" s="1347">
        <v>0</v>
      </c>
      <c r="AG81" s="1347">
        <v>0</v>
      </c>
      <c r="AH81" s="1347">
        <v>0</v>
      </c>
      <c r="AI81" s="1347">
        <v>0</v>
      </c>
      <c r="AJ81" s="1347">
        <v>0</v>
      </c>
      <c r="AK81" s="1347">
        <v>317</v>
      </c>
      <c r="AL81" s="1347">
        <v>0</v>
      </c>
      <c r="AM81" s="1347">
        <v>138</v>
      </c>
      <c r="AN81" s="1347">
        <v>4</v>
      </c>
      <c r="AO81" s="1348">
        <v>1165.7</v>
      </c>
      <c r="AP81" s="1349">
        <v>70.900000000000006</v>
      </c>
      <c r="AQ81" s="1350">
        <v>0</v>
      </c>
      <c r="AR81" s="1351">
        <v>0</v>
      </c>
      <c r="AS81" s="1355">
        <v>2</v>
      </c>
      <c r="AT81" s="1355">
        <v>0</v>
      </c>
      <c r="AU81" s="1355">
        <v>4.5</v>
      </c>
      <c r="AV81" s="1355">
        <v>0</v>
      </c>
      <c r="AW81" s="1355">
        <v>5</v>
      </c>
      <c r="AX81" s="1355">
        <v>0</v>
      </c>
      <c r="AY81" s="1355">
        <v>0</v>
      </c>
      <c r="AZ81" s="1355">
        <v>4</v>
      </c>
      <c r="BA81" s="1355">
        <v>0</v>
      </c>
      <c r="BB81" s="1355">
        <v>0</v>
      </c>
      <c r="BC81" s="1355">
        <v>0</v>
      </c>
      <c r="BD81" s="1355">
        <v>0</v>
      </c>
      <c r="BE81" s="1355">
        <v>0</v>
      </c>
      <c r="BF81" s="1355">
        <v>0</v>
      </c>
      <c r="BG81" s="1355">
        <v>0</v>
      </c>
      <c r="BH81" s="1355">
        <v>0</v>
      </c>
      <c r="BI81" s="1355">
        <v>0</v>
      </c>
      <c r="BJ81" s="1355">
        <v>8</v>
      </c>
      <c r="BK81" s="1355">
        <v>4</v>
      </c>
      <c r="BL81" s="1356">
        <v>27.5</v>
      </c>
      <c r="BM81" s="1357">
        <v>0</v>
      </c>
      <c r="BN81" s="1193"/>
      <c r="BO81" s="1193"/>
      <c r="BP81" s="1193"/>
    </row>
    <row r="82" spans="1:68" ht="21.95" customHeight="1">
      <c r="A82" s="1345">
        <v>5</v>
      </c>
      <c r="B82" s="1346" t="s">
        <v>87</v>
      </c>
      <c r="C82" s="1347">
        <v>129.6</v>
      </c>
      <c r="D82" s="1347">
        <v>0</v>
      </c>
      <c r="E82" s="1347">
        <v>0</v>
      </c>
      <c r="F82" s="1347">
        <v>0</v>
      </c>
      <c r="G82" s="1347">
        <v>25</v>
      </c>
      <c r="H82" s="1347">
        <v>0</v>
      </c>
      <c r="I82" s="1347">
        <v>0</v>
      </c>
      <c r="J82" s="1347">
        <v>0</v>
      </c>
      <c r="K82" s="1347">
        <v>141</v>
      </c>
      <c r="L82" s="1347">
        <v>0</v>
      </c>
      <c r="M82" s="1347">
        <v>0</v>
      </c>
      <c r="N82" s="1347">
        <v>0</v>
      </c>
      <c r="O82" s="1347">
        <v>0</v>
      </c>
      <c r="P82" s="1347">
        <v>0</v>
      </c>
      <c r="Q82" s="1347">
        <v>161</v>
      </c>
      <c r="R82" s="1347">
        <v>1</v>
      </c>
      <c r="S82" s="1347">
        <v>0</v>
      </c>
      <c r="T82" s="1347">
        <v>0</v>
      </c>
      <c r="U82" s="1347">
        <v>5</v>
      </c>
      <c r="V82" s="1347">
        <v>0</v>
      </c>
      <c r="W82" s="1347">
        <v>0</v>
      </c>
      <c r="X82" s="1347">
        <v>0</v>
      </c>
      <c r="Y82" s="1347">
        <v>0</v>
      </c>
      <c r="Z82" s="1347">
        <v>0</v>
      </c>
      <c r="AA82" s="1347">
        <v>0</v>
      </c>
      <c r="AB82" s="1347">
        <v>0</v>
      </c>
      <c r="AC82" s="1347">
        <v>0</v>
      </c>
      <c r="AD82" s="1347">
        <v>0</v>
      </c>
      <c r="AE82" s="1347">
        <v>0</v>
      </c>
      <c r="AF82" s="1347">
        <v>0</v>
      </c>
      <c r="AG82" s="1347">
        <v>0</v>
      </c>
      <c r="AH82" s="1347">
        <v>0</v>
      </c>
      <c r="AI82" s="1347">
        <v>0</v>
      </c>
      <c r="AJ82" s="1347">
        <v>0</v>
      </c>
      <c r="AK82" s="1347">
        <v>381</v>
      </c>
      <c r="AL82" s="1347">
        <v>7</v>
      </c>
      <c r="AM82" s="1347">
        <v>74</v>
      </c>
      <c r="AN82" s="1347">
        <v>0</v>
      </c>
      <c r="AO82" s="1348">
        <v>916.6</v>
      </c>
      <c r="AP82" s="1349">
        <v>8</v>
      </c>
      <c r="AQ82" s="1350">
        <v>0</v>
      </c>
      <c r="AR82" s="1351">
        <v>0</v>
      </c>
      <c r="AS82" s="1355">
        <v>3</v>
      </c>
      <c r="AT82" s="1355">
        <v>0</v>
      </c>
      <c r="AU82" s="1355">
        <v>3</v>
      </c>
      <c r="AV82" s="1355">
        <v>0</v>
      </c>
      <c r="AW82" s="1355">
        <v>8</v>
      </c>
      <c r="AX82" s="1355">
        <v>0</v>
      </c>
      <c r="AY82" s="1355">
        <v>0</v>
      </c>
      <c r="AZ82" s="1355">
        <v>8</v>
      </c>
      <c r="BA82" s="1355">
        <v>0</v>
      </c>
      <c r="BB82" s="1355">
        <v>0</v>
      </c>
      <c r="BC82" s="1355">
        <v>0</v>
      </c>
      <c r="BD82" s="1355">
        <v>0</v>
      </c>
      <c r="BE82" s="1355">
        <v>0</v>
      </c>
      <c r="BF82" s="1355">
        <v>0</v>
      </c>
      <c r="BG82" s="1355">
        <v>0</v>
      </c>
      <c r="BH82" s="1355">
        <v>0</v>
      </c>
      <c r="BI82" s="1355">
        <v>0</v>
      </c>
      <c r="BJ82" s="1355">
        <v>17</v>
      </c>
      <c r="BK82" s="1355">
        <v>2</v>
      </c>
      <c r="BL82" s="1356">
        <v>41</v>
      </c>
      <c r="BM82" s="1357">
        <v>0</v>
      </c>
      <c r="BN82" s="1193"/>
      <c r="BO82" s="1193"/>
      <c r="BP82" s="1193"/>
    </row>
    <row r="83" spans="1:68" ht="24.95" customHeight="1">
      <c r="A83" s="1345">
        <v>6</v>
      </c>
      <c r="B83" s="1342" t="s">
        <v>85</v>
      </c>
      <c r="C83" s="1347">
        <v>0</v>
      </c>
      <c r="D83" s="1347">
        <v>138.30000000000001</v>
      </c>
      <c r="E83" s="1347">
        <v>0</v>
      </c>
      <c r="F83" s="1347">
        <v>0</v>
      </c>
      <c r="G83" s="1347">
        <v>77.5</v>
      </c>
      <c r="H83" s="1347">
        <v>90.5</v>
      </c>
      <c r="I83" s="1347">
        <v>0</v>
      </c>
      <c r="J83" s="1347">
        <v>0</v>
      </c>
      <c r="K83" s="1347">
        <v>93</v>
      </c>
      <c r="L83" s="1347">
        <v>26.9</v>
      </c>
      <c r="M83" s="1347">
        <v>0</v>
      </c>
      <c r="N83" s="1347">
        <v>0</v>
      </c>
      <c r="O83" s="1347">
        <v>69</v>
      </c>
      <c r="P83" s="1347">
        <v>8</v>
      </c>
      <c r="Q83" s="1347">
        <v>16.5</v>
      </c>
      <c r="R83" s="1347">
        <v>402.87</v>
      </c>
      <c r="S83" s="1347">
        <v>0</v>
      </c>
      <c r="T83" s="1347">
        <v>0</v>
      </c>
      <c r="U83" s="1347">
        <v>0</v>
      </c>
      <c r="V83" s="1347">
        <v>0</v>
      </c>
      <c r="W83" s="1347">
        <v>0</v>
      </c>
      <c r="X83" s="1347">
        <v>0</v>
      </c>
      <c r="Y83" s="1347">
        <v>0</v>
      </c>
      <c r="Z83" s="1347">
        <v>0</v>
      </c>
      <c r="AA83" s="1347">
        <v>30</v>
      </c>
      <c r="AB83" s="1347">
        <v>0</v>
      </c>
      <c r="AC83" s="1347">
        <v>0</v>
      </c>
      <c r="AD83" s="1347">
        <v>0</v>
      </c>
      <c r="AE83" s="1347">
        <v>0</v>
      </c>
      <c r="AF83" s="1347">
        <v>0</v>
      </c>
      <c r="AG83" s="1347">
        <v>0</v>
      </c>
      <c r="AH83" s="1347">
        <v>0</v>
      </c>
      <c r="AI83" s="1347">
        <v>0</v>
      </c>
      <c r="AJ83" s="1347">
        <v>0</v>
      </c>
      <c r="AK83" s="1347">
        <v>64.38</v>
      </c>
      <c r="AL83" s="1347">
        <v>34.32</v>
      </c>
      <c r="AM83" s="1347">
        <v>0</v>
      </c>
      <c r="AN83" s="1347">
        <v>47</v>
      </c>
      <c r="AO83" s="1348">
        <v>350.38</v>
      </c>
      <c r="AP83" s="1349">
        <v>747.8900000000001</v>
      </c>
      <c r="AQ83" s="1350">
        <v>0</v>
      </c>
      <c r="AR83" s="1351">
        <v>0</v>
      </c>
      <c r="AS83" s="1352"/>
      <c r="AT83" s="1352"/>
      <c r="AU83" s="1352"/>
      <c r="AV83" s="1352"/>
      <c r="AW83" s="1352"/>
      <c r="AX83" s="1352"/>
      <c r="AY83" s="1352"/>
      <c r="AZ83" s="1352"/>
      <c r="BA83" s="1352"/>
      <c r="BB83" s="1352"/>
      <c r="BC83" s="1352"/>
      <c r="BD83" s="1352"/>
      <c r="BE83" s="1352"/>
      <c r="BF83" s="1352"/>
      <c r="BG83" s="1352"/>
      <c r="BH83" s="1352"/>
      <c r="BI83" s="1352"/>
      <c r="BJ83" s="1352"/>
      <c r="BK83" s="1352"/>
      <c r="BL83" s="1353"/>
      <c r="BM83" s="1354"/>
      <c r="BN83" s="1193"/>
      <c r="BO83" s="1193"/>
      <c r="BP83" s="1193"/>
    </row>
    <row r="84" spans="1:68" ht="30" customHeight="1">
      <c r="A84" s="1321"/>
      <c r="B84" s="1342" t="s">
        <v>2</v>
      </c>
      <c r="C84" s="1348">
        <v>306.29999999999995</v>
      </c>
      <c r="D84" s="1348">
        <v>187.20000000000002</v>
      </c>
      <c r="E84" s="1348">
        <v>0</v>
      </c>
      <c r="F84" s="1348">
        <v>0</v>
      </c>
      <c r="G84" s="1348">
        <v>275.5</v>
      </c>
      <c r="H84" s="1348">
        <v>107.5</v>
      </c>
      <c r="I84" s="1348">
        <v>0</v>
      </c>
      <c r="J84" s="1348">
        <v>0</v>
      </c>
      <c r="K84" s="1348">
        <v>347</v>
      </c>
      <c r="L84" s="1348">
        <v>26.9</v>
      </c>
      <c r="M84" s="1348">
        <v>0</v>
      </c>
      <c r="N84" s="1348">
        <v>0</v>
      </c>
      <c r="O84" s="1348">
        <v>69</v>
      </c>
      <c r="P84" s="1348">
        <v>8</v>
      </c>
      <c r="Q84" s="1348">
        <v>364.5</v>
      </c>
      <c r="R84" s="1348">
        <v>404.87</v>
      </c>
      <c r="S84" s="1348">
        <v>0</v>
      </c>
      <c r="T84" s="1348">
        <v>0</v>
      </c>
      <c r="U84" s="1348">
        <v>66</v>
      </c>
      <c r="V84" s="1348">
        <v>0</v>
      </c>
      <c r="W84" s="1348">
        <v>0</v>
      </c>
      <c r="X84" s="1348">
        <v>0</v>
      </c>
      <c r="Y84" s="1348">
        <v>0</v>
      </c>
      <c r="Z84" s="1348">
        <v>0</v>
      </c>
      <c r="AA84" s="1348">
        <v>30</v>
      </c>
      <c r="AB84" s="1348">
        <v>0</v>
      </c>
      <c r="AC84" s="1348">
        <v>0</v>
      </c>
      <c r="AD84" s="1348">
        <v>0</v>
      </c>
      <c r="AE84" s="1348">
        <v>0</v>
      </c>
      <c r="AF84" s="1348">
        <v>0</v>
      </c>
      <c r="AG84" s="1348">
        <v>0</v>
      </c>
      <c r="AH84" s="1348">
        <v>0</v>
      </c>
      <c r="AI84" s="1348">
        <v>0</v>
      </c>
      <c r="AJ84" s="1348">
        <v>0</v>
      </c>
      <c r="AK84" s="1348">
        <v>762.38</v>
      </c>
      <c r="AL84" s="1348">
        <v>41.32</v>
      </c>
      <c r="AM84" s="1348">
        <v>212</v>
      </c>
      <c r="AN84" s="1358">
        <v>51</v>
      </c>
      <c r="AO84" s="1348">
        <v>2432.6799999999998</v>
      </c>
      <c r="AP84" s="1349">
        <v>826.79000000000008</v>
      </c>
      <c r="AQ84" s="1359">
        <v>0</v>
      </c>
      <c r="AR84" s="1349">
        <v>0</v>
      </c>
      <c r="AS84" s="1352"/>
      <c r="AT84" s="1352"/>
      <c r="AU84" s="1352"/>
      <c r="AV84" s="1352"/>
      <c r="AW84" s="1352"/>
      <c r="AX84" s="1352"/>
      <c r="AY84" s="1352"/>
      <c r="AZ84" s="1352"/>
      <c r="BA84" s="1352"/>
      <c r="BB84" s="1352"/>
      <c r="BC84" s="1352"/>
      <c r="BD84" s="1352"/>
      <c r="BE84" s="1352"/>
      <c r="BF84" s="1352"/>
      <c r="BG84" s="1352"/>
      <c r="BH84" s="1352"/>
      <c r="BI84" s="1352"/>
      <c r="BJ84" s="1352"/>
      <c r="BK84" s="1352"/>
      <c r="BL84" s="1353"/>
      <c r="BM84" s="1354"/>
      <c r="BN84" s="1193"/>
      <c r="BO84" s="1193"/>
      <c r="BP84" s="1193"/>
    </row>
    <row r="85" spans="1:68" ht="30" customHeight="1">
      <c r="A85" s="1321"/>
      <c r="B85" s="1332" t="s">
        <v>11</v>
      </c>
      <c r="C85" s="1333"/>
      <c r="D85" s="1333"/>
      <c r="E85" s="1333"/>
      <c r="F85" s="1333"/>
      <c r="G85" s="1333"/>
      <c r="H85" s="1333"/>
      <c r="I85" s="1333"/>
      <c r="J85" s="1333"/>
      <c r="K85" s="1333"/>
      <c r="L85" s="1333"/>
      <c r="M85" s="1333"/>
      <c r="N85" s="1333"/>
      <c r="O85" s="1333"/>
      <c r="P85" s="1333"/>
      <c r="Q85" s="1333"/>
      <c r="R85" s="1333"/>
      <c r="S85" s="1333"/>
      <c r="T85" s="1333"/>
      <c r="U85" s="1333"/>
      <c r="V85" s="1333"/>
      <c r="W85" s="1333"/>
      <c r="X85" s="1333"/>
      <c r="Y85" s="1333"/>
      <c r="Z85" s="1333"/>
      <c r="AA85" s="1333"/>
      <c r="AB85" s="1333"/>
      <c r="AC85" s="1333"/>
      <c r="AD85" s="1333"/>
      <c r="AE85" s="1333"/>
      <c r="AF85" s="1333"/>
      <c r="AG85" s="1333"/>
      <c r="AH85" s="1333"/>
      <c r="AI85" s="1333"/>
      <c r="AJ85" s="1333"/>
      <c r="AK85" s="1333"/>
      <c r="AL85" s="1333"/>
      <c r="AM85" s="1333"/>
      <c r="AN85" s="1334"/>
      <c r="AO85" s="1335"/>
      <c r="AP85" s="1336"/>
      <c r="AQ85" s="1337"/>
      <c r="AR85" s="1338"/>
      <c r="AS85" s="1352"/>
      <c r="AT85" s="1352"/>
      <c r="AU85" s="1352"/>
      <c r="AV85" s="1352"/>
      <c r="AW85" s="1352"/>
      <c r="AX85" s="1352"/>
      <c r="AY85" s="1352"/>
      <c r="AZ85" s="1352"/>
      <c r="BA85" s="1352"/>
      <c r="BB85" s="1352"/>
      <c r="BC85" s="1352"/>
      <c r="BD85" s="1352"/>
      <c r="BE85" s="1352"/>
      <c r="BF85" s="1352"/>
      <c r="BG85" s="1352"/>
      <c r="BH85" s="1352"/>
      <c r="BI85" s="1352"/>
      <c r="BJ85" s="1352"/>
      <c r="BK85" s="1352"/>
      <c r="BL85" s="1340"/>
      <c r="BM85" s="1354"/>
      <c r="BN85" s="1193"/>
      <c r="BO85" s="1193"/>
      <c r="BP85" s="1193"/>
    </row>
    <row r="86" spans="1:68" ht="24.95" customHeight="1">
      <c r="A86" s="1321"/>
      <c r="B86" s="1342" t="s">
        <v>83</v>
      </c>
      <c r="C86" s="1333"/>
      <c r="D86" s="1333"/>
      <c r="E86" s="1333"/>
      <c r="F86" s="1333"/>
      <c r="G86" s="1333"/>
      <c r="H86" s="1333"/>
      <c r="I86" s="1333"/>
      <c r="J86" s="1333"/>
      <c r="K86" s="1333"/>
      <c r="L86" s="1333"/>
      <c r="M86" s="1333"/>
      <c r="N86" s="1333"/>
      <c r="O86" s="1333"/>
      <c r="P86" s="1333"/>
      <c r="Q86" s="1333"/>
      <c r="R86" s="1333"/>
      <c r="S86" s="1333"/>
      <c r="T86" s="1333"/>
      <c r="U86" s="1333"/>
      <c r="V86" s="1333"/>
      <c r="W86" s="1333"/>
      <c r="X86" s="1333"/>
      <c r="Y86" s="1333"/>
      <c r="Z86" s="1333"/>
      <c r="AA86" s="1333"/>
      <c r="AB86" s="1333"/>
      <c r="AC86" s="1333"/>
      <c r="AD86" s="1333"/>
      <c r="AE86" s="1333"/>
      <c r="AF86" s="1333"/>
      <c r="AG86" s="1333"/>
      <c r="AH86" s="1333"/>
      <c r="AI86" s="1333"/>
      <c r="AJ86" s="1333"/>
      <c r="AK86" s="1333"/>
      <c r="AL86" s="1333"/>
      <c r="AM86" s="1333"/>
      <c r="AN86" s="1334"/>
      <c r="AO86" s="1335"/>
      <c r="AP86" s="1336"/>
      <c r="AQ86" s="1337"/>
      <c r="AR86" s="1338"/>
      <c r="AS86" s="1352"/>
      <c r="AT86" s="1352"/>
      <c r="AU86" s="1352"/>
      <c r="AV86" s="1352"/>
      <c r="AW86" s="1352"/>
      <c r="AX86" s="1352"/>
      <c r="AY86" s="1352"/>
      <c r="AZ86" s="1352"/>
      <c r="BA86" s="1352"/>
      <c r="BB86" s="1352"/>
      <c r="BC86" s="1352"/>
      <c r="BD86" s="1352"/>
      <c r="BE86" s="1352"/>
      <c r="BF86" s="1352"/>
      <c r="BG86" s="1352"/>
      <c r="BH86" s="1352"/>
      <c r="BI86" s="1352"/>
      <c r="BJ86" s="1352"/>
      <c r="BK86" s="1352"/>
      <c r="BL86" s="1340"/>
      <c r="BM86" s="1354"/>
      <c r="BN86" s="1193"/>
      <c r="BO86" s="1193"/>
      <c r="BP86" s="1193"/>
    </row>
    <row r="87" spans="1:68" ht="24.95" customHeight="1">
      <c r="A87" s="1321"/>
      <c r="B87" s="1346" t="s">
        <v>89</v>
      </c>
      <c r="C87" s="1360"/>
      <c r="D87" s="1360"/>
      <c r="E87" s="1360"/>
      <c r="F87" s="1360"/>
      <c r="G87" s="1360"/>
      <c r="H87" s="1360"/>
      <c r="I87" s="1360"/>
      <c r="J87" s="1360"/>
      <c r="K87" s="1360"/>
      <c r="L87" s="1360"/>
      <c r="M87" s="1360"/>
      <c r="N87" s="1360"/>
      <c r="O87" s="1360"/>
      <c r="P87" s="1360"/>
      <c r="Q87" s="1360"/>
      <c r="R87" s="1360"/>
      <c r="S87" s="1360"/>
      <c r="T87" s="1360"/>
      <c r="U87" s="1360"/>
      <c r="V87" s="1360"/>
      <c r="W87" s="1360"/>
      <c r="X87" s="1360"/>
      <c r="Y87" s="1360"/>
      <c r="Z87" s="1360"/>
      <c r="AA87" s="1360"/>
      <c r="AB87" s="1360"/>
      <c r="AC87" s="1360"/>
      <c r="AD87" s="1360"/>
      <c r="AE87" s="1360"/>
      <c r="AF87" s="1360"/>
      <c r="AG87" s="1360"/>
      <c r="AH87" s="1360"/>
      <c r="AI87" s="1360"/>
      <c r="AJ87" s="1360"/>
      <c r="AK87" s="1360"/>
      <c r="AL87" s="1360"/>
      <c r="AM87" s="1360"/>
      <c r="AN87" s="1258"/>
      <c r="AO87" s="1335"/>
      <c r="AP87" s="1336"/>
      <c r="AQ87" s="1300"/>
      <c r="AR87" s="1344"/>
      <c r="AS87" s="1361"/>
      <c r="AT87" s="1361"/>
      <c r="AU87" s="1361"/>
      <c r="AV87" s="1361"/>
      <c r="AW87" s="1361"/>
      <c r="AX87" s="1361"/>
      <c r="AY87" s="1361"/>
      <c r="AZ87" s="1361"/>
      <c r="BA87" s="1361"/>
      <c r="BB87" s="1361"/>
      <c r="BC87" s="1361"/>
      <c r="BD87" s="1361"/>
      <c r="BE87" s="1361"/>
      <c r="BF87" s="1361"/>
      <c r="BG87" s="1361"/>
      <c r="BH87" s="1361"/>
      <c r="BI87" s="1361"/>
      <c r="BJ87" s="1361"/>
      <c r="BK87" s="1361"/>
      <c r="BL87" s="1340"/>
      <c r="BM87" s="1362"/>
      <c r="BN87" s="1193"/>
      <c r="BO87" s="1193"/>
      <c r="BP87" s="1193"/>
    </row>
    <row r="88" spans="1:68" ht="21.95" customHeight="1">
      <c r="A88" s="1345">
        <v>7</v>
      </c>
      <c r="B88" s="1363" t="s">
        <v>33</v>
      </c>
      <c r="C88" s="1347">
        <v>419.7</v>
      </c>
      <c r="D88" s="1347">
        <v>0</v>
      </c>
      <c r="E88" s="1347">
        <v>0</v>
      </c>
      <c r="F88" s="1347">
        <v>0</v>
      </c>
      <c r="G88" s="1347">
        <v>374.5</v>
      </c>
      <c r="H88" s="1347">
        <v>0</v>
      </c>
      <c r="I88" s="1347">
        <v>0</v>
      </c>
      <c r="J88" s="1347">
        <v>0</v>
      </c>
      <c r="K88" s="1347">
        <v>495</v>
      </c>
      <c r="L88" s="1347">
        <v>0</v>
      </c>
      <c r="M88" s="1347">
        <v>0</v>
      </c>
      <c r="N88" s="1347">
        <v>0</v>
      </c>
      <c r="O88" s="1347">
        <v>0</v>
      </c>
      <c r="P88" s="1347">
        <v>0</v>
      </c>
      <c r="Q88" s="1347">
        <v>628</v>
      </c>
      <c r="R88" s="1347">
        <v>0</v>
      </c>
      <c r="S88" s="1347">
        <v>0</v>
      </c>
      <c r="T88" s="1347">
        <v>0</v>
      </c>
      <c r="U88" s="1347">
        <v>0</v>
      </c>
      <c r="V88" s="1347">
        <v>0</v>
      </c>
      <c r="W88" s="1347">
        <v>0</v>
      </c>
      <c r="X88" s="1347">
        <v>0</v>
      </c>
      <c r="Y88" s="1347">
        <v>0</v>
      </c>
      <c r="Z88" s="1347">
        <v>0</v>
      </c>
      <c r="AA88" s="1347">
        <v>0</v>
      </c>
      <c r="AB88" s="1347">
        <v>0</v>
      </c>
      <c r="AC88" s="1347">
        <v>0</v>
      </c>
      <c r="AD88" s="1347">
        <v>0</v>
      </c>
      <c r="AE88" s="1347">
        <v>0</v>
      </c>
      <c r="AF88" s="1347">
        <v>0</v>
      </c>
      <c r="AG88" s="1347">
        <v>0</v>
      </c>
      <c r="AH88" s="1347">
        <v>0</v>
      </c>
      <c r="AI88" s="1347">
        <v>0</v>
      </c>
      <c r="AJ88" s="1347">
        <v>0</v>
      </c>
      <c r="AK88" s="1347">
        <v>0</v>
      </c>
      <c r="AL88" s="1347">
        <v>0</v>
      </c>
      <c r="AM88" s="1347">
        <v>0</v>
      </c>
      <c r="AN88" s="1347">
        <v>0</v>
      </c>
      <c r="AO88" s="1348">
        <v>1917.2</v>
      </c>
      <c r="AP88" s="1349">
        <v>0</v>
      </c>
      <c r="AQ88" s="1350">
        <v>0</v>
      </c>
      <c r="AR88" s="1351">
        <v>0</v>
      </c>
      <c r="AS88" s="1355">
        <v>65</v>
      </c>
      <c r="AT88" s="1355">
        <v>0</v>
      </c>
      <c r="AU88" s="1355">
        <v>47</v>
      </c>
      <c r="AV88" s="1355">
        <v>0</v>
      </c>
      <c r="AW88" s="1355">
        <v>94</v>
      </c>
      <c r="AX88" s="1355">
        <v>0</v>
      </c>
      <c r="AY88" s="1355">
        <v>0</v>
      </c>
      <c r="AZ88" s="1355">
        <v>100</v>
      </c>
      <c r="BA88" s="1355">
        <v>0</v>
      </c>
      <c r="BB88" s="1355">
        <v>0</v>
      </c>
      <c r="BC88" s="1355">
        <v>0</v>
      </c>
      <c r="BD88" s="1355">
        <v>0</v>
      </c>
      <c r="BE88" s="1355">
        <v>0</v>
      </c>
      <c r="BF88" s="1355">
        <v>0</v>
      </c>
      <c r="BG88" s="1355">
        <v>0</v>
      </c>
      <c r="BH88" s="1355">
        <v>0</v>
      </c>
      <c r="BI88" s="1355">
        <v>0</v>
      </c>
      <c r="BJ88" s="1355">
        <v>0</v>
      </c>
      <c r="BK88" s="1355">
        <v>0</v>
      </c>
      <c r="BL88" s="1356">
        <v>306</v>
      </c>
      <c r="BM88" s="1357">
        <v>0</v>
      </c>
      <c r="BN88" s="1193"/>
      <c r="BO88" s="1193"/>
      <c r="BP88" s="1193"/>
    </row>
    <row r="89" spans="1:68" ht="21.95" customHeight="1">
      <c r="A89" s="1345">
        <v>8</v>
      </c>
      <c r="B89" s="1363" t="s">
        <v>34</v>
      </c>
      <c r="C89" s="1347">
        <v>59</v>
      </c>
      <c r="D89" s="1347">
        <v>0</v>
      </c>
      <c r="E89" s="1347">
        <v>0</v>
      </c>
      <c r="F89" s="1347">
        <v>0</v>
      </c>
      <c r="G89" s="1347">
        <v>195</v>
      </c>
      <c r="H89" s="1347">
        <v>0</v>
      </c>
      <c r="I89" s="1347">
        <v>0</v>
      </c>
      <c r="J89" s="1347">
        <v>0</v>
      </c>
      <c r="K89" s="1347">
        <v>0</v>
      </c>
      <c r="L89" s="1347">
        <v>0</v>
      </c>
      <c r="M89" s="1347">
        <v>0</v>
      </c>
      <c r="N89" s="1347">
        <v>0</v>
      </c>
      <c r="O89" s="1347">
        <v>0</v>
      </c>
      <c r="P89" s="1347">
        <v>0</v>
      </c>
      <c r="Q89" s="1347">
        <v>280</v>
      </c>
      <c r="R89" s="1347">
        <v>0</v>
      </c>
      <c r="S89" s="1347">
        <v>0</v>
      </c>
      <c r="T89" s="1347">
        <v>0</v>
      </c>
      <c r="U89" s="1347">
        <v>0</v>
      </c>
      <c r="V89" s="1347">
        <v>0</v>
      </c>
      <c r="W89" s="1347">
        <v>0</v>
      </c>
      <c r="X89" s="1347">
        <v>0</v>
      </c>
      <c r="Y89" s="1347">
        <v>0</v>
      </c>
      <c r="Z89" s="1347">
        <v>0</v>
      </c>
      <c r="AA89" s="1347">
        <v>0</v>
      </c>
      <c r="AB89" s="1347">
        <v>0</v>
      </c>
      <c r="AC89" s="1347">
        <v>0</v>
      </c>
      <c r="AD89" s="1347">
        <v>0</v>
      </c>
      <c r="AE89" s="1347">
        <v>0</v>
      </c>
      <c r="AF89" s="1347">
        <v>0</v>
      </c>
      <c r="AG89" s="1347">
        <v>0</v>
      </c>
      <c r="AH89" s="1347">
        <v>0</v>
      </c>
      <c r="AI89" s="1347">
        <v>0</v>
      </c>
      <c r="AJ89" s="1347">
        <v>0</v>
      </c>
      <c r="AK89" s="1347">
        <v>0</v>
      </c>
      <c r="AL89" s="1347">
        <v>0</v>
      </c>
      <c r="AM89" s="1347">
        <v>0</v>
      </c>
      <c r="AN89" s="1347">
        <v>0</v>
      </c>
      <c r="AO89" s="1348">
        <v>534</v>
      </c>
      <c r="AP89" s="1349">
        <v>0</v>
      </c>
      <c r="AQ89" s="1350">
        <v>0</v>
      </c>
      <c r="AR89" s="1351">
        <v>0</v>
      </c>
      <c r="AS89" s="1355">
        <v>23</v>
      </c>
      <c r="AT89" s="1355">
        <v>0</v>
      </c>
      <c r="AU89" s="1355">
        <v>41</v>
      </c>
      <c r="AV89" s="1355">
        <v>0</v>
      </c>
      <c r="AW89" s="1355">
        <v>0</v>
      </c>
      <c r="AX89" s="1355">
        <v>0</v>
      </c>
      <c r="AY89" s="1355">
        <v>0</v>
      </c>
      <c r="AZ89" s="1355">
        <v>40</v>
      </c>
      <c r="BA89" s="1355">
        <v>0</v>
      </c>
      <c r="BB89" s="1355">
        <v>0</v>
      </c>
      <c r="BC89" s="1355">
        <v>0</v>
      </c>
      <c r="BD89" s="1355">
        <v>0</v>
      </c>
      <c r="BE89" s="1355">
        <v>0</v>
      </c>
      <c r="BF89" s="1355">
        <v>0</v>
      </c>
      <c r="BG89" s="1355">
        <v>0</v>
      </c>
      <c r="BH89" s="1355">
        <v>0</v>
      </c>
      <c r="BI89" s="1355">
        <v>0</v>
      </c>
      <c r="BJ89" s="1355">
        <v>0</v>
      </c>
      <c r="BK89" s="1355">
        <v>0</v>
      </c>
      <c r="BL89" s="1356">
        <v>104</v>
      </c>
      <c r="BM89" s="1357">
        <v>0</v>
      </c>
      <c r="BN89" s="1193"/>
      <c r="BO89" s="1193"/>
      <c r="BP89" s="1193"/>
    </row>
    <row r="90" spans="1:68" ht="21.95" customHeight="1">
      <c r="A90" s="1345">
        <v>9</v>
      </c>
      <c r="B90" s="1363" t="s">
        <v>5</v>
      </c>
      <c r="C90" s="1347">
        <v>246</v>
      </c>
      <c r="D90" s="1347">
        <v>0</v>
      </c>
      <c r="E90" s="1347">
        <v>0</v>
      </c>
      <c r="F90" s="1347">
        <v>0</v>
      </c>
      <c r="G90" s="1347">
        <v>201</v>
      </c>
      <c r="H90" s="1347">
        <v>0</v>
      </c>
      <c r="I90" s="1347">
        <v>0</v>
      </c>
      <c r="J90" s="1347">
        <v>0</v>
      </c>
      <c r="K90" s="1347">
        <v>214</v>
      </c>
      <c r="L90" s="1347">
        <v>0</v>
      </c>
      <c r="M90" s="1347">
        <v>0</v>
      </c>
      <c r="N90" s="1347">
        <v>0</v>
      </c>
      <c r="O90" s="1347">
        <v>0</v>
      </c>
      <c r="P90" s="1347">
        <v>0</v>
      </c>
      <c r="Q90" s="1347">
        <v>311</v>
      </c>
      <c r="R90" s="1347">
        <v>0</v>
      </c>
      <c r="S90" s="1347">
        <v>0</v>
      </c>
      <c r="T90" s="1347">
        <v>0</v>
      </c>
      <c r="U90" s="1347">
        <v>0</v>
      </c>
      <c r="V90" s="1347">
        <v>0</v>
      </c>
      <c r="W90" s="1347">
        <v>0</v>
      </c>
      <c r="X90" s="1347">
        <v>0</v>
      </c>
      <c r="Y90" s="1347">
        <v>0</v>
      </c>
      <c r="Z90" s="1347">
        <v>0</v>
      </c>
      <c r="AA90" s="1347">
        <v>0</v>
      </c>
      <c r="AB90" s="1347">
        <v>0</v>
      </c>
      <c r="AC90" s="1347">
        <v>0</v>
      </c>
      <c r="AD90" s="1347">
        <v>0</v>
      </c>
      <c r="AE90" s="1347">
        <v>0</v>
      </c>
      <c r="AF90" s="1347">
        <v>0</v>
      </c>
      <c r="AG90" s="1347">
        <v>177</v>
      </c>
      <c r="AH90" s="1347">
        <v>0</v>
      </c>
      <c r="AI90" s="1347">
        <v>0</v>
      </c>
      <c r="AJ90" s="1347">
        <v>0</v>
      </c>
      <c r="AK90" s="1347">
        <v>0</v>
      </c>
      <c r="AL90" s="1347">
        <v>0</v>
      </c>
      <c r="AM90" s="1347">
        <v>0</v>
      </c>
      <c r="AN90" s="1347">
        <v>0</v>
      </c>
      <c r="AO90" s="1348">
        <v>1149</v>
      </c>
      <c r="AP90" s="1349">
        <v>0</v>
      </c>
      <c r="AQ90" s="1350">
        <v>0</v>
      </c>
      <c r="AR90" s="1351">
        <v>0</v>
      </c>
      <c r="AS90" s="1355">
        <v>61</v>
      </c>
      <c r="AT90" s="1355">
        <v>0</v>
      </c>
      <c r="AU90" s="1355">
        <v>61</v>
      </c>
      <c r="AV90" s="1355">
        <v>0</v>
      </c>
      <c r="AW90" s="1355">
        <v>163</v>
      </c>
      <c r="AX90" s="1355">
        <v>0</v>
      </c>
      <c r="AY90" s="1355">
        <v>0</v>
      </c>
      <c r="AZ90" s="1355">
        <v>116</v>
      </c>
      <c r="BA90" s="1355">
        <v>0</v>
      </c>
      <c r="BB90" s="1355">
        <v>0</v>
      </c>
      <c r="BC90" s="1355">
        <v>0</v>
      </c>
      <c r="BD90" s="1355">
        <v>0</v>
      </c>
      <c r="BE90" s="1355">
        <v>0</v>
      </c>
      <c r="BF90" s="1355">
        <v>0</v>
      </c>
      <c r="BG90" s="1355">
        <v>0</v>
      </c>
      <c r="BH90" s="1355">
        <v>0</v>
      </c>
      <c r="BI90" s="1355">
        <v>0</v>
      </c>
      <c r="BJ90" s="1355">
        <v>0</v>
      </c>
      <c r="BK90" s="1355">
        <v>0</v>
      </c>
      <c r="BL90" s="1356">
        <v>401</v>
      </c>
      <c r="BM90" s="1357">
        <v>0</v>
      </c>
      <c r="BN90" s="1193"/>
      <c r="BO90" s="1193"/>
      <c r="BP90" s="1193"/>
    </row>
    <row r="91" spans="1:68" ht="21.95" customHeight="1">
      <c r="A91" s="1345">
        <v>10</v>
      </c>
      <c r="B91" s="1363" t="s">
        <v>6</v>
      </c>
      <c r="C91" s="1347">
        <v>0</v>
      </c>
      <c r="D91" s="1347">
        <v>0</v>
      </c>
      <c r="E91" s="1347">
        <v>0</v>
      </c>
      <c r="F91" s="1347">
        <v>0</v>
      </c>
      <c r="G91" s="1347">
        <v>32</v>
      </c>
      <c r="H91" s="1347">
        <v>0</v>
      </c>
      <c r="I91" s="1347">
        <v>0</v>
      </c>
      <c r="J91" s="1347">
        <v>0</v>
      </c>
      <c r="K91" s="1347">
        <v>0</v>
      </c>
      <c r="L91" s="1347">
        <v>0</v>
      </c>
      <c r="M91" s="1347">
        <v>0</v>
      </c>
      <c r="N91" s="1347">
        <v>0</v>
      </c>
      <c r="O91" s="1347">
        <v>0</v>
      </c>
      <c r="P91" s="1347">
        <v>0</v>
      </c>
      <c r="Q91" s="1347">
        <v>53</v>
      </c>
      <c r="R91" s="1347">
        <v>0</v>
      </c>
      <c r="S91" s="1347">
        <v>0</v>
      </c>
      <c r="T91" s="1347">
        <v>0</v>
      </c>
      <c r="U91" s="1347">
        <v>0</v>
      </c>
      <c r="V91" s="1347">
        <v>0</v>
      </c>
      <c r="W91" s="1347">
        <v>0</v>
      </c>
      <c r="X91" s="1347">
        <v>0</v>
      </c>
      <c r="Y91" s="1347">
        <v>0</v>
      </c>
      <c r="Z91" s="1347">
        <v>0</v>
      </c>
      <c r="AA91" s="1347">
        <v>0</v>
      </c>
      <c r="AB91" s="1347">
        <v>0</v>
      </c>
      <c r="AC91" s="1347">
        <v>0</v>
      </c>
      <c r="AD91" s="1347">
        <v>0</v>
      </c>
      <c r="AE91" s="1347">
        <v>0</v>
      </c>
      <c r="AF91" s="1347">
        <v>0</v>
      </c>
      <c r="AG91" s="1347">
        <v>0</v>
      </c>
      <c r="AH91" s="1347">
        <v>0</v>
      </c>
      <c r="AI91" s="1347">
        <v>0</v>
      </c>
      <c r="AJ91" s="1347">
        <v>0</v>
      </c>
      <c r="AK91" s="1347">
        <v>0</v>
      </c>
      <c r="AL91" s="1347">
        <v>0</v>
      </c>
      <c r="AM91" s="1347">
        <v>0</v>
      </c>
      <c r="AN91" s="1347">
        <v>0</v>
      </c>
      <c r="AO91" s="1348">
        <v>85</v>
      </c>
      <c r="AP91" s="1349">
        <v>0</v>
      </c>
      <c r="AQ91" s="1350">
        <v>0</v>
      </c>
      <c r="AR91" s="1351">
        <v>0</v>
      </c>
      <c r="AS91" s="1355">
        <v>0</v>
      </c>
      <c r="AT91" s="1355">
        <v>0</v>
      </c>
      <c r="AU91" s="1355">
        <v>16</v>
      </c>
      <c r="AV91" s="1355">
        <v>0</v>
      </c>
      <c r="AW91" s="1355">
        <v>0</v>
      </c>
      <c r="AX91" s="1355">
        <v>0</v>
      </c>
      <c r="AY91" s="1355">
        <v>0</v>
      </c>
      <c r="AZ91" s="1355">
        <v>14</v>
      </c>
      <c r="BA91" s="1355">
        <v>0</v>
      </c>
      <c r="BB91" s="1355">
        <v>0</v>
      </c>
      <c r="BC91" s="1355">
        <v>0</v>
      </c>
      <c r="BD91" s="1355">
        <v>0</v>
      </c>
      <c r="BE91" s="1355">
        <v>0</v>
      </c>
      <c r="BF91" s="1355">
        <v>0</v>
      </c>
      <c r="BG91" s="1355">
        <v>0</v>
      </c>
      <c r="BH91" s="1355">
        <v>0</v>
      </c>
      <c r="BI91" s="1355">
        <v>0</v>
      </c>
      <c r="BJ91" s="1355">
        <v>0</v>
      </c>
      <c r="BK91" s="1355">
        <v>0</v>
      </c>
      <c r="BL91" s="1356">
        <v>30</v>
      </c>
      <c r="BM91" s="1357">
        <v>0</v>
      </c>
      <c r="BN91" s="1193"/>
      <c r="BO91" s="1193"/>
      <c r="BP91" s="1193"/>
    </row>
    <row r="92" spans="1:68" ht="24.95" customHeight="1">
      <c r="A92" s="1321"/>
      <c r="B92" s="1346" t="s">
        <v>7</v>
      </c>
      <c r="C92" s="1364"/>
      <c r="D92" s="1364"/>
      <c r="E92" s="1364"/>
      <c r="F92" s="1364"/>
      <c r="G92" s="1364"/>
      <c r="H92" s="1364"/>
      <c r="I92" s="1364"/>
      <c r="J92" s="1364"/>
      <c r="K92" s="1364"/>
      <c r="L92" s="1364"/>
      <c r="M92" s="1364"/>
      <c r="N92" s="1364"/>
      <c r="O92" s="1364"/>
      <c r="P92" s="1364"/>
      <c r="Q92" s="1364"/>
      <c r="R92" s="1364"/>
      <c r="S92" s="1364"/>
      <c r="T92" s="1364"/>
      <c r="U92" s="1364"/>
      <c r="V92" s="1364"/>
      <c r="W92" s="1364"/>
      <c r="X92" s="1364"/>
      <c r="Y92" s="1364"/>
      <c r="Z92" s="1364"/>
      <c r="AA92" s="1364"/>
      <c r="AB92" s="1364"/>
      <c r="AC92" s="1364"/>
      <c r="AD92" s="1364"/>
      <c r="AE92" s="1364"/>
      <c r="AF92" s="1364"/>
      <c r="AG92" s="1364"/>
      <c r="AH92" s="1364"/>
      <c r="AI92" s="1364"/>
      <c r="AJ92" s="1364"/>
      <c r="AK92" s="1364"/>
      <c r="AL92" s="1364"/>
      <c r="AM92" s="1364"/>
      <c r="AN92" s="1365"/>
      <c r="AO92" s="1335"/>
      <c r="AP92" s="1336"/>
      <c r="AQ92" s="1366"/>
      <c r="AR92" s="1367"/>
      <c r="AS92" s="1352"/>
      <c r="AT92" s="1352"/>
      <c r="AU92" s="1352"/>
      <c r="AV92" s="1352"/>
      <c r="AW92" s="1352"/>
      <c r="AX92" s="1352"/>
      <c r="AY92" s="1352"/>
      <c r="AZ92" s="1352"/>
      <c r="BA92" s="1352"/>
      <c r="BB92" s="1352"/>
      <c r="BC92" s="1352"/>
      <c r="BD92" s="1352"/>
      <c r="BE92" s="1352"/>
      <c r="BF92" s="1352"/>
      <c r="BG92" s="1352"/>
      <c r="BH92" s="1352"/>
      <c r="BI92" s="1352"/>
      <c r="BJ92" s="1352"/>
      <c r="BK92" s="1352"/>
      <c r="BL92" s="1368"/>
      <c r="BM92" s="1354"/>
      <c r="BN92" s="1193"/>
      <c r="BO92" s="1193"/>
      <c r="BP92" s="1193"/>
    </row>
    <row r="93" spans="1:68" ht="21.95" customHeight="1">
      <c r="A93" s="1345">
        <v>11</v>
      </c>
      <c r="B93" s="1363" t="s">
        <v>93</v>
      </c>
      <c r="C93" s="1347">
        <v>376.1</v>
      </c>
      <c r="D93" s="1347">
        <v>0</v>
      </c>
      <c r="E93" s="1347">
        <v>0</v>
      </c>
      <c r="F93" s="1347">
        <v>0</v>
      </c>
      <c r="G93" s="1347">
        <v>234</v>
      </c>
      <c r="H93" s="1347">
        <v>7</v>
      </c>
      <c r="I93" s="1347">
        <v>0</v>
      </c>
      <c r="J93" s="1347">
        <v>0</v>
      </c>
      <c r="K93" s="1347">
        <v>412</v>
      </c>
      <c r="L93" s="1347">
        <v>0</v>
      </c>
      <c r="M93" s="1347">
        <v>0</v>
      </c>
      <c r="N93" s="1347">
        <v>0</v>
      </c>
      <c r="O93" s="1347">
        <v>0</v>
      </c>
      <c r="P93" s="1347">
        <v>0</v>
      </c>
      <c r="Q93" s="1347">
        <v>555</v>
      </c>
      <c r="R93" s="1347">
        <v>8.8800000000000008</v>
      </c>
      <c r="S93" s="1347">
        <v>0</v>
      </c>
      <c r="T93" s="1347">
        <v>0</v>
      </c>
      <c r="U93" s="1347">
        <v>0</v>
      </c>
      <c r="V93" s="1347">
        <v>0</v>
      </c>
      <c r="W93" s="1347">
        <v>0</v>
      </c>
      <c r="X93" s="1347">
        <v>0</v>
      </c>
      <c r="Y93" s="1347">
        <v>0</v>
      </c>
      <c r="Z93" s="1347">
        <v>0</v>
      </c>
      <c r="AA93" s="1347">
        <v>0</v>
      </c>
      <c r="AB93" s="1347">
        <v>0</v>
      </c>
      <c r="AC93" s="1347">
        <v>0</v>
      </c>
      <c r="AD93" s="1347">
        <v>0</v>
      </c>
      <c r="AE93" s="1347">
        <v>0</v>
      </c>
      <c r="AF93" s="1347">
        <v>0</v>
      </c>
      <c r="AG93" s="1347">
        <v>0</v>
      </c>
      <c r="AH93" s="1347">
        <v>0</v>
      </c>
      <c r="AI93" s="1347">
        <v>162.5</v>
      </c>
      <c r="AJ93" s="1347">
        <v>1</v>
      </c>
      <c r="AK93" s="1347">
        <v>550.5</v>
      </c>
      <c r="AL93" s="1347">
        <v>1.2</v>
      </c>
      <c r="AM93" s="1347">
        <v>273</v>
      </c>
      <c r="AN93" s="1347">
        <v>1.3333333333333333</v>
      </c>
      <c r="AO93" s="1348">
        <v>2563.1</v>
      </c>
      <c r="AP93" s="1349">
        <v>19.413333333333334</v>
      </c>
      <c r="AQ93" s="1350">
        <v>0</v>
      </c>
      <c r="AR93" s="1351">
        <v>0</v>
      </c>
      <c r="AS93" s="1355">
        <v>16</v>
      </c>
      <c r="AT93" s="1355">
        <v>0</v>
      </c>
      <c r="AU93" s="1355">
        <v>15</v>
      </c>
      <c r="AV93" s="1355">
        <v>0</v>
      </c>
      <c r="AW93" s="1355">
        <v>15</v>
      </c>
      <c r="AX93" s="1355">
        <v>0</v>
      </c>
      <c r="AY93" s="1355">
        <v>0</v>
      </c>
      <c r="AZ93" s="1355">
        <v>9</v>
      </c>
      <c r="BA93" s="1355">
        <v>0</v>
      </c>
      <c r="BB93" s="1355">
        <v>0</v>
      </c>
      <c r="BC93" s="1355">
        <v>0</v>
      </c>
      <c r="BD93" s="1355">
        <v>0</v>
      </c>
      <c r="BE93" s="1355">
        <v>0</v>
      </c>
      <c r="BF93" s="1355">
        <v>0</v>
      </c>
      <c r="BG93" s="1355">
        <v>0</v>
      </c>
      <c r="BH93" s="1355">
        <v>0</v>
      </c>
      <c r="BI93" s="1355">
        <v>15</v>
      </c>
      <c r="BJ93" s="1355">
        <v>11</v>
      </c>
      <c r="BK93" s="1355">
        <v>0</v>
      </c>
      <c r="BL93" s="1356">
        <v>81</v>
      </c>
      <c r="BM93" s="1357">
        <v>0</v>
      </c>
      <c r="BN93" s="1193"/>
      <c r="BO93" s="1193"/>
      <c r="BP93" s="1193"/>
    </row>
    <row r="94" spans="1:68" ht="21.95" customHeight="1">
      <c r="A94" s="1345">
        <v>12</v>
      </c>
      <c r="B94" s="1363" t="s">
        <v>21</v>
      </c>
      <c r="C94" s="1347">
        <v>52</v>
      </c>
      <c r="D94" s="1347">
        <v>0</v>
      </c>
      <c r="E94" s="1347">
        <v>0</v>
      </c>
      <c r="F94" s="1347">
        <v>0</v>
      </c>
      <c r="G94" s="1347">
        <v>0</v>
      </c>
      <c r="H94" s="1347">
        <v>0</v>
      </c>
      <c r="I94" s="1347">
        <v>0</v>
      </c>
      <c r="J94" s="1347">
        <v>0</v>
      </c>
      <c r="K94" s="1347">
        <v>0</v>
      </c>
      <c r="L94" s="1347">
        <v>0</v>
      </c>
      <c r="M94" s="1347">
        <v>0</v>
      </c>
      <c r="N94" s="1347">
        <v>0</v>
      </c>
      <c r="O94" s="1347">
        <v>0</v>
      </c>
      <c r="P94" s="1347">
        <v>0</v>
      </c>
      <c r="Q94" s="1347">
        <v>0</v>
      </c>
      <c r="R94" s="1347">
        <v>0</v>
      </c>
      <c r="S94" s="1347">
        <v>0</v>
      </c>
      <c r="T94" s="1347">
        <v>0</v>
      </c>
      <c r="U94" s="1347">
        <v>0</v>
      </c>
      <c r="V94" s="1347">
        <v>0</v>
      </c>
      <c r="W94" s="1347">
        <v>0</v>
      </c>
      <c r="X94" s="1347">
        <v>0</v>
      </c>
      <c r="Y94" s="1347">
        <v>0</v>
      </c>
      <c r="Z94" s="1347">
        <v>0</v>
      </c>
      <c r="AA94" s="1347">
        <v>0</v>
      </c>
      <c r="AB94" s="1347">
        <v>0</v>
      </c>
      <c r="AC94" s="1347">
        <v>97</v>
      </c>
      <c r="AD94" s="1347">
        <v>0</v>
      </c>
      <c r="AE94" s="1347">
        <v>0</v>
      </c>
      <c r="AF94" s="1347">
        <v>0</v>
      </c>
      <c r="AG94" s="1347">
        <v>0</v>
      </c>
      <c r="AH94" s="1347">
        <v>0</v>
      </c>
      <c r="AI94" s="1347">
        <v>0</v>
      </c>
      <c r="AJ94" s="1347">
        <v>0</v>
      </c>
      <c r="AK94" s="1347">
        <v>0</v>
      </c>
      <c r="AL94" s="1347">
        <v>0</v>
      </c>
      <c r="AM94" s="1347">
        <v>0</v>
      </c>
      <c r="AN94" s="1347">
        <v>0</v>
      </c>
      <c r="AO94" s="1348">
        <v>149</v>
      </c>
      <c r="AP94" s="1349">
        <v>0</v>
      </c>
      <c r="AQ94" s="1350">
        <v>0</v>
      </c>
      <c r="AR94" s="1351">
        <v>0</v>
      </c>
      <c r="AS94" s="1355">
        <v>0</v>
      </c>
      <c r="AT94" s="1355">
        <v>0</v>
      </c>
      <c r="AU94" s="1355">
        <v>0</v>
      </c>
      <c r="AV94" s="1355">
        <v>0</v>
      </c>
      <c r="AW94" s="1355">
        <v>0</v>
      </c>
      <c r="AX94" s="1355">
        <v>0</v>
      </c>
      <c r="AY94" s="1355">
        <v>0</v>
      </c>
      <c r="AZ94" s="1355">
        <v>0</v>
      </c>
      <c r="BA94" s="1355">
        <v>0</v>
      </c>
      <c r="BB94" s="1355">
        <v>0</v>
      </c>
      <c r="BC94" s="1355">
        <v>0</v>
      </c>
      <c r="BD94" s="1355">
        <v>0</v>
      </c>
      <c r="BE94" s="1355">
        <v>0</v>
      </c>
      <c r="BF94" s="1355">
        <v>0</v>
      </c>
      <c r="BG94" s="1355">
        <v>0</v>
      </c>
      <c r="BH94" s="1355">
        <v>0</v>
      </c>
      <c r="BI94" s="1355">
        <v>0</v>
      </c>
      <c r="BJ94" s="1355">
        <v>0</v>
      </c>
      <c r="BK94" s="1355">
        <v>0</v>
      </c>
      <c r="BL94" s="1356">
        <v>0</v>
      </c>
      <c r="BM94" s="1357">
        <v>0</v>
      </c>
      <c r="BN94" s="1193"/>
      <c r="BO94" s="1193"/>
      <c r="BP94" s="1193"/>
    </row>
    <row r="95" spans="1:68" ht="21.95" customHeight="1">
      <c r="A95" s="1345">
        <v>13</v>
      </c>
      <c r="B95" s="1363" t="s">
        <v>22</v>
      </c>
      <c r="C95" s="1347">
        <v>0</v>
      </c>
      <c r="D95" s="1347">
        <v>0</v>
      </c>
      <c r="E95" s="1347">
        <v>0</v>
      </c>
      <c r="F95" s="1347">
        <v>0</v>
      </c>
      <c r="G95" s="1347">
        <v>0</v>
      </c>
      <c r="H95" s="1347">
        <v>0</v>
      </c>
      <c r="I95" s="1347">
        <v>0</v>
      </c>
      <c r="J95" s="1347">
        <v>0</v>
      </c>
      <c r="K95" s="1347">
        <v>355</v>
      </c>
      <c r="L95" s="1347">
        <v>0</v>
      </c>
      <c r="M95" s="1347">
        <v>0</v>
      </c>
      <c r="N95" s="1347">
        <v>0</v>
      </c>
      <c r="O95" s="1347">
        <v>0</v>
      </c>
      <c r="P95" s="1347">
        <v>0</v>
      </c>
      <c r="Q95" s="1347">
        <v>0</v>
      </c>
      <c r="R95" s="1347">
        <v>0</v>
      </c>
      <c r="S95" s="1347">
        <v>0</v>
      </c>
      <c r="T95" s="1347">
        <v>0</v>
      </c>
      <c r="U95" s="1347">
        <v>0</v>
      </c>
      <c r="V95" s="1347">
        <v>0</v>
      </c>
      <c r="W95" s="1347">
        <v>0</v>
      </c>
      <c r="X95" s="1347">
        <v>0</v>
      </c>
      <c r="Y95" s="1347">
        <v>0</v>
      </c>
      <c r="Z95" s="1347">
        <v>0</v>
      </c>
      <c r="AA95" s="1347">
        <v>0</v>
      </c>
      <c r="AB95" s="1347">
        <v>0</v>
      </c>
      <c r="AC95" s="1347">
        <v>0</v>
      </c>
      <c r="AD95" s="1347">
        <v>0</v>
      </c>
      <c r="AE95" s="1347">
        <v>0</v>
      </c>
      <c r="AF95" s="1347">
        <v>0</v>
      </c>
      <c r="AG95" s="1347">
        <v>0</v>
      </c>
      <c r="AH95" s="1347">
        <v>0</v>
      </c>
      <c r="AI95" s="1347">
        <v>0</v>
      </c>
      <c r="AJ95" s="1347">
        <v>0</v>
      </c>
      <c r="AK95" s="1347">
        <v>0</v>
      </c>
      <c r="AL95" s="1347">
        <v>0</v>
      </c>
      <c r="AM95" s="1347">
        <v>0</v>
      </c>
      <c r="AN95" s="1347">
        <v>0</v>
      </c>
      <c r="AO95" s="1348">
        <v>355</v>
      </c>
      <c r="AP95" s="1349">
        <v>0</v>
      </c>
      <c r="AQ95" s="1350">
        <v>0</v>
      </c>
      <c r="AR95" s="1351">
        <v>0</v>
      </c>
      <c r="AS95" s="1355">
        <v>0</v>
      </c>
      <c r="AT95" s="1355">
        <v>0</v>
      </c>
      <c r="AU95" s="1355">
        <v>0</v>
      </c>
      <c r="AV95" s="1355">
        <v>0</v>
      </c>
      <c r="AW95" s="1355">
        <v>6</v>
      </c>
      <c r="AX95" s="1355">
        <v>0</v>
      </c>
      <c r="AY95" s="1355">
        <v>0</v>
      </c>
      <c r="AZ95" s="1355">
        <v>0</v>
      </c>
      <c r="BA95" s="1355">
        <v>0</v>
      </c>
      <c r="BB95" s="1355">
        <v>0</v>
      </c>
      <c r="BC95" s="1355">
        <v>0</v>
      </c>
      <c r="BD95" s="1355">
        <v>0</v>
      </c>
      <c r="BE95" s="1355">
        <v>0</v>
      </c>
      <c r="BF95" s="1355">
        <v>0</v>
      </c>
      <c r="BG95" s="1355">
        <v>0</v>
      </c>
      <c r="BH95" s="1355">
        <v>0</v>
      </c>
      <c r="BI95" s="1355">
        <v>0</v>
      </c>
      <c r="BJ95" s="1355">
        <v>0</v>
      </c>
      <c r="BK95" s="1355">
        <v>0</v>
      </c>
      <c r="BL95" s="1356">
        <v>6</v>
      </c>
      <c r="BM95" s="1357">
        <v>0</v>
      </c>
      <c r="BN95" s="1193"/>
      <c r="BO95" s="1193"/>
      <c r="BP95" s="1193"/>
    </row>
    <row r="96" spans="1:68" ht="21.95" customHeight="1">
      <c r="A96" s="1345">
        <v>14</v>
      </c>
      <c r="B96" s="1363" t="s">
        <v>23</v>
      </c>
      <c r="C96" s="1347">
        <v>0</v>
      </c>
      <c r="D96" s="1347">
        <v>0</v>
      </c>
      <c r="E96" s="1347">
        <v>0</v>
      </c>
      <c r="F96" s="1347">
        <v>0</v>
      </c>
      <c r="G96" s="1347">
        <v>0</v>
      </c>
      <c r="H96" s="1347">
        <v>0</v>
      </c>
      <c r="I96" s="1347">
        <v>0</v>
      </c>
      <c r="J96" s="1347">
        <v>0</v>
      </c>
      <c r="K96" s="1347">
        <v>0</v>
      </c>
      <c r="L96" s="1347">
        <v>0</v>
      </c>
      <c r="M96" s="1347">
        <v>0</v>
      </c>
      <c r="N96" s="1347">
        <v>0</v>
      </c>
      <c r="O96" s="1347">
        <v>0</v>
      </c>
      <c r="P96" s="1347">
        <v>0</v>
      </c>
      <c r="Q96" s="1347">
        <v>91</v>
      </c>
      <c r="R96" s="1347">
        <v>0.6</v>
      </c>
      <c r="S96" s="1347">
        <v>0</v>
      </c>
      <c r="T96" s="1347">
        <v>0</v>
      </c>
      <c r="U96" s="1347">
        <v>0</v>
      </c>
      <c r="V96" s="1347">
        <v>0</v>
      </c>
      <c r="W96" s="1347">
        <v>0</v>
      </c>
      <c r="X96" s="1347">
        <v>0</v>
      </c>
      <c r="Y96" s="1347">
        <v>0</v>
      </c>
      <c r="Z96" s="1347">
        <v>0</v>
      </c>
      <c r="AA96" s="1347">
        <v>0</v>
      </c>
      <c r="AB96" s="1347">
        <v>0</v>
      </c>
      <c r="AC96" s="1347">
        <v>0</v>
      </c>
      <c r="AD96" s="1347">
        <v>0</v>
      </c>
      <c r="AE96" s="1347">
        <v>0</v>
      </c>
      <c r="AF96" s="1347">
        <v>0</v>
      </c>
      <c r="AG96" s="1347">
        <v>0</v>
      </c>
      <c r="AH96" s="1347">
        <v>0</v>
      </c>
      <c r="AI96" s="1347">
        <v>0</v>
      </c>
      <c r="AJ96" s="1347">
        <v>0</v>
      </c>
      <c r="AK96" s="1347">
        <v>0</v>
      </c>
      <c r="AL96" s="1347">
        <v>0</v>
      </c>
      <c r="AM96" s="1347">
        <v>0</v>
      </c>
      <c r="AN96" s="1347">
        <v>0</v>
      </c>
      <c r="AO96" s="1348">
        <v>91</v>
      </c>
      <c r="AP96" s="1349">
        <v>0.6</v>
      </c>
      <c r="AQ96" s="1350">
        <v>0</v>
      </c>
      <c r="AR96" s="1351">
        <v>0</v>
      </c>
      <c r="AS96" s="1355">
        <v>0</v>
      </c>
      <c r="AT96" s="1355">
        <v>0</v>
      </c>
      <c r="AU96" s="1355">
        <v>0</v>
      </c>
      <c r="AV96" s="1355">
        <v>0</v>
      </c>
      <c r="AW96" s="1355">
        <v>0</v>
      </c>
      <c r="AX96" s="1355">
        <v>0</v>
      </c>
      <c r="AY96" s="1355">
        <v>0</v>
      </c>
      <c r="AZ96" s="1355">
        <v>0</v>
      </c>
      <c r="BA96" s="1355">
        <v>0</v>
      </c>
      <c r="BB96" s="1355">
        <v>0</v>
      </c>
      <c r="BC96" s="1355">
        <v>0</v>
      </c>
      <c r="BD96" s="1355">
        <v>0</v>
      </c>
      <c r="BE96" s="1355">
        <v>0</v>
      </c>
      <c r="BF96" s="1355">
        <v>0</v>
      </c>
      <c r="BG96" s="1355">
        <v>0</v>
      </c>
      <c r="BH96" s="1355">
        <v>0</v>
      </c>
      <c r="BI96" s="1355">
        <v>0</v>
      </c>
      <c r="BJ96" s="1355">
        <v>0</v>
      </c>
      <c r="BK96" s="1355">
        <v>0</v>
      </c>
      <c r="BL96" s="1356">
        <v>0</v>
      </c>
      <c r="BM96" s="1357">
        <v>0</v>
      </c>
      <c r="BN96" s="1193"/>
      <c r="BO96" s="1193"/>
      <c r="BP96" s="1193"/>
    </row>
    <row r="97" spans="1:68" ht="24.95" customHeight="1">
      <c r="A97" s="1321"/>
      <c r="B97" s="1346" t="s">
        <v>84</v>
      </c>
      <c r="C97" s="1369"/>
      <c r="D97" s="1369"/>
      <c r="E97" s="1369"/>
      <c r="F97" s="1369"/>
      <c r="G97" s="1369"/>
      <c r="H97" s="1369"/>
      <c r="I97" s="1369"/>
      <c r="J97" s="1369"/>
      <c r="K97" s="1369"/>
      <c r="L97" s="1369"/>
      <c r="M97" s="1369"/>
      <c r="N97" s="1369"/>
      <c r="O97" s="1369"/>
      <c r="P97" s="1369"/>
      <c r="Q97" s="1369"/>
      <c r="R97" s="1369"/>
      <c r="S97" s="1369"/>
      <c r="T97" s="1369"/>
      <c r="U97" s="1369"/>
      <c r="V97" s="1369"/>
      <c r="W97" s="1369"/>
      <c r="X97" s="1369"/>
      <c r="Y97" s="1369"/>
      <c r="Z97" s="1369"/>
      <c r="AA97" s="1369"/>
      <c r="AB97" s="1369"/>
      <c r="AC97" s="1369"/>
      <c r="AD97" s="1369"/>
      <c r="AE97" s="1369"/>
      <c r="AF97" s="1369"/>
      <c r="AG97" s="1369"/>
      <c r="AH97" s="1369"/>
      <c r="AI97" s="1369"/>
      <c r="AJ97" s="1369"/>
      <c r="AK97" s="1369"/>
      <c r="AL97" s="1369"/>
      <c r="AM97" s="1369"/>
      <c r="AN97" s="1369"/>
      <c r="AO97" s="1335"/>
      <c r="AP97" s="1336"/>
      <c r="AQ97" s="1370"/>
      <c r="AR97" s="1371"/>
      <c r="AS97" s="1361"/>
      <c r="AT97" s="1361"/>
      <c r="AU97" s="1361"/>
      <c r="AV97" s="1361"/>
      <c r="AW97" s="1361"/>
      <c r="AX97" s="1361"/>
      <c r="AY97" s="1361"/>
      <c r="AZ97" s="1361"/>
      <c r="BA97" s="1361"/>
      <c r="BB97" s="1361"/>
      <c r="BC97" s="1361"/>
      <c r="BD97" s="1361"/>
      <c r="BE97" s="1361"/>
      <c r="BF97" s="1361"/>
      <c r="BG97" s="1361"/>
      <c r="BH97" s="1361"/>
      <c r="BI97" s="1361"/>
      <c r="BJ97" s="1361"/>
      <c r="BK97" s="1361"/>
      <c r="BL97" s="1340"/>
      <c r="BM97" s="1362"/>
    </row>
    <row r="98" spans="1:68" ht="24.95" customHeight="1">
      <c r="A98" s="1345">
        <v>15</v>
      </c>
      <c r="B98" s="1363" t="s">
        <v>388</v>
      </c>
      <c r="C98" s="1347">
        <v>0</v>
      </c>
      <c r="D98" s="1347">
        <v>0</v>
      </c>
      <c r="E98" s="1347">
        <v>0</v>
      </c>
      <c r="F98" s="1347">
        <v>0</v>
      </c>
      <c r="G98" s="1347">
        <v>1122.25</v>
      </c>
      <c r="H98" s="1347">
        <v>0</v>
      </c>
      <c r="I98" s="1347">
        <v>1593</v>
      </c>
      <c r="J98" s="1347">
        <v>0</v>
      </c>
      <c r="K98" s="1347">
        <v>0</v>
      </c>
      <c r="L98" s="1347">
        <v>0</v>
      </c>
      <c r="M98" s="1347">
        <v>1388.5</v>
      </c>
      <c r="N98" s="1347">
        <v>35</v>
      </c>
      <c r="O98" s="1347">
        <v>0</v>
      </c>
      <c r="P98" s="1347">
        <v>0</v>
      </c>
      <c r="Q98" s="1347">
        <v>0</v>
      </c>
      <c r="R98" s="1347">
        <v>0</v>
      </c>
      <c r="S98" s="1347">
        <v>0</v>
      </c>
      <c r="T98" s="1347">
        <v>0</v>
      </c>
      <c r="U98" s="1347">
        <v>0</v>
      </c>
      <c r="V98" s="1347">
        <v>0</v>
      </c>
      <c r="W98" s="1347">
        <v>0</v>
      </c>
      <c r="X98" s="1347">
        <v>0</v>
      </c>
      <c r="Y98" s="1347">
        <v>0</v>
      </c>
      <c r="Z98" s="1347">
        <v>0</v>
      </c>
      <c r="AA98" s="1347">
        <v>756</v>
      </c>
      <c r="AB98" s="1347">
        <v>0</v>
      </c>
      <c r="AC98" s="1347">
        <v>0</v>
      </c>
      <c r="AD98" s="1347">
        <v>0</v>
      </c>
      <c r="AE98" s="1347">
        <v>0</v>
      </c>
      <c r="AF98" s="1347">
        <v>0</v>
      </c>
      <c r="AG98" s="1347">
        <v>0</v>
      </c>
      <c r="AH98" s="1347">
        <v>0</v>
      </c>
      <c r="AI98" s="1347">
        <v>986</v>
      </c>
      <c r="AJ98" s="1347">
        <v>0</v>
      </c>
      <c r="AK98" s="1347">
        <v>0</v>
      </c>
      <c r="AL98" s="1347">
        <v>0</v>
      </c>
      <c r="AM98" s="1347">
        <v>2044</v>
      </c>
      <c r="AN98" s="1347">
        <v>1.9999999999999998</v>
      </c>
      <c r="AO98" s="1348">
        <v>7889.75</v>
      </c>
      <c r="AP98" s="1349">
        <v>37</v>
      </c>
      <c r="AQ98" s="1350">
        <v>0</v>
      </c>
      <c r="AR98" s="1351">
        <v>0</v>
      </c>
      <c r="AS98" s="1352"/>
      <c r="AT98" s="1352"/>
      <c r="AU98" s="1352"/>
      <c r="AV98" s="1352"/>
      <c r="AW98" s="1352"/>
      <c r="AX98" s="1352"/>
      <c r="AY98" s="1352"/>
      <c r="AZ98" s="1352"/>
      <c r="BA98" s="1352"/>
      <c r="BB98" s="1352"/>
      <c r="BC98" s="1352"/>
      <c r="BD98" s="1352"/>
      <c r="BE98" s="1352"/>
      <c r="BF98" s="1352"/>
      <c r="BG98" s="1352"/>
      <c r="BH98" s="1352"/>
      <c r="BI98" s="1352"/>
      <c r="BJ98" s="1352"/>
      <c r="BK98" s="1352"/>
      <c r="BL98" s="1353"/>
      <c r="BM98" s="1354"/>
    </row>
    <row r="99" spans="1:68" ht="24.95" customHeight="1">
      <c r="A99" s="1345">
        <v>16</v>
      </c>
      <c r="B99" s="1363" t="s">
        <v>362</v>
      </c>
      <c r="C99" s="1347">
        <v>0</v>
      </c>
      <c r="D99" s="1347">
        <v>0</v>
      </c>
      <c r="E99" s="1347">
        <v>75</v>
      </c>
      <c r="F99" s="1347">
        <v>1.25</v>
      </c>
      <c r="G99" s="1347">
        <v>0</v>
      </c>
      <c r="H99" s="1347">
        <v>0</v>
      </c>
      <c r="I99" s="1347">
        <v>0</v>
      </c>
      <c r="J99" s="1347">
        <v>0</v>
      </c>
      <c r="K99" s="1347">
        <v>65</v>
      </c>
      <c r="L99" s="1347">
        <v>0</v>
      </c>
      <c r="M99" s="1347">
        <v>115</v>
      </c>
      <c r="N99" s="1347">
        <v>0</v>
      </c>
      <c r="O99" s="1347">
        <v>0</v>
      </c>
      <c r="P99" s="1347">
        <v>0</v>
      </c>
      <c r="Q99" s="1347">
        <v>87</v>
      </c>
      <c r="R99" s="1347">
        <v>0</v>
      </c>
      <c r="S99" s="1347">
        <v>0</v>
      </c>
      <c r="T99" s="1347">
        <v>0</v>
      </c>
      <c r="U99" s="1347">
        <v>0</v>
      </c>
      <c r="V99" s="1347">
        <v>0</v>
      </c>
      <c r="W99" s="1347">
        <v>0</v>
      </c>
      <c r="X99" s="1347">
        <v>0</v>
      </c>
      <c r="Y99" s="1347">
        <v>68</v>
      </c>
      <c r="Z99" s="1347">
        <v>0.75</v>
      </c>
      <c r="AA99" s="1347">
        <v>41</v>
      </c>
      <c r="AB99" s="1347">
        <v>0</v>
      </c>
      <c r="AC99" s="1347">
        <v>0</v>
      </c>
      <c r="AD99" s="1347">
        <v>0</v>
      </c>
      <c r="AE99" s="1347">
        <v>0</v>
      </c>
      <c r="AF99" s="1347">
        <v>0</v>
      </c>
      <c r="AG99" s="1347">
        <v>0</v>
      </c>
      <c r="AH99" s="1347">
        <v>0</v>
      </c>
      <c r="AI99" s="1347">
        <v>0</v>
      </c>
      <c r="AJ99" s="1347">
        <v>0</v>
      </c>
      <c r="AK99" s="1347">
        <v>0</v>
      </c>
      <c r="AL99" s="1347">
        <v>0</v>
      </c>
      <c r="AM99" s="1347">
        <v>0</v>
      </c>
      <c r="AN99" s="1347">
        <v>0</v>
      </c>
      <c r="AO99" s="1348">
        <v>451</v>
      </c>
      <c r="AP99" s="1349">
        <v>2</v>
      </c>
      <c r="AQ99" s="1350">
        <v>0</v>
      </c>
      <c r="AR99" s="1351">
        <v>0</v>
      </c>
      <c r="AS99" s="1352"/>
      <c r="AT99" s="1352"/>
      <c r="AU99" s="1352"/>
      <c r="AV99" s="1352"/>
      <c r="AW99" s="1352"/>
      <c r="AX99" s="1352"/>
      <c r="AY99" s="1352"/>
      <c r="AZ99" s="1352"/>
      <c r="BA99" s="1352"/>
      <c r="BB99" s="1352"/>
      <c r="BC99" s="1352"/>
      <c r="BD99" s="1352"/>
      <c r="BE99" s="1352"/>
      <c r="BF99" s="1352"/>
      <c r="BG99" s="1352"/>
      <c r="BH99" s="1352"/>
      <c r="BI99" s="1352"/>
      <c r="BJ99" s="1352"/>
      <c r="BK99" s="1352"/>
      <c r="BL99" s="1353"/>
      <c r="BM99" s="1354"/>
    </row>
    <row r="100" spans="1:68" ht="24.95" customHeight="1">
      <c r="A100" s="1321"/>
      <c r="B100" s="1342" t="s">
        <v>85</v>
      </c>
      <c r="C100" s="1333"/>
      <c r="D100" s="1333"/>
      <c r="E100" s="1333"/>
      <c r="F100" s="1333"/>
      <c r="G100" s="1333"/>
      <c r="H100" s="1333"/>
      <c r="I100" s="1333"/>
      <c r="J100" s="1333"/>
      <c r="K100" s="1333"/>
      <c r="L100" s="1333"/>
      <c r="M100" s="1333"/>
      <c r="N100" s="1333"/>
      <c r="O100" s="1333"/>
      <c r="P100" s="1333"/>
      <c r="Q100" s="1333"/>
      <c r="R100" s="1333"/>
      <c r="S100" s="1333"/>
      <c r="T100" s="1333"/>
      <c r="U100" s="1333"/>
      <c r="V100" s="1333"/>
      <c r="W100" s="1333"/>
      <c r="X100" s="1333"/>
      <c r="Y100" s="1333"/>
      <c r="Z100" s="1333"/>
      <c r="AA100" s="1333"/>
      <c r="AB100" s="1333"/>
      <c r="AC100" s="1333"/>
      <c r="AD100" s="1333"/>
      <c r="AE100" s="1333"/>
      <c r="AF100" s="1333"/>
      <c r="AG100" s="1333"/>
      <c r="AH100" s="1333"/>
      <c r="AI100" s="1333"/>
      <c r="AJ100" s="1333"/>
      <c r="AK100" s="1333"/>
      <c r="AL100" s="1333"/>
      <c r="AM100" s="1333"/>
      <c r="AN100" s="1334"/>
      <c r="AO100" s="1335"/>
      <c r="AP100" s="1336"/>
      <c r="AQ100" s="1337"/>
      <c r="AR100" s="1338"/>
      <c r="AS100" s="1352"/>
      <c r="AT100" s="1352"/>
      <c r="AU100" s="1352"/>
      <c r="AV100" s="1352"/>
      <c r="AW100" s="1352"/>
      <c r="AX100" s="1352"/>
      <c r="AY100" s="1352"/>
      <c r="AZ100" s="1352"/>
      <c r="BA100" s="1352"/>
      <c r="BB100" s="1352"/>
      <c r="BC100" s="1352"/>
      <c r="BD100" s="1352"/>
      <c r="BE100" s="1352"/>
      <c r="BF100" s="1352"/>
      <c r="BG100" s="1352"/>
      <c r="BH100" s="1352"/>
      <c r="BI100" s="1352"/>
      <c r="BJ100" s="1352"/>
      <c r="BK100" s="1352"/>
      <c r="BL100" s="1340"/>
      <c r="BM100" s="1354"/>
    </row>
    <row r="101" spans="1:68" ht="24.95" customHeight="1">
      <c r="A101" s="1345">
        <v>17</v>
      </c>
      <c r="B101" s="1346" t="s">
        <v>90</v>
      </c>
      <c r="C101" s="1347">
        <v>2807.2</v>
      </c>
      <c r="D101" s="1347">
        <v>113.19999999999999</v>
      </c>
      <c r="E101" s="1347">
        <v>1877.75</v>
      </c>
      <c r="F101" s="1347">
        <v>41.3125</v>
      </c>
      <c r="G101" s="1347">
        <v>1896</v>
      </c>
      <c r="H101" s="1347">
        <v>19.63</v>
      </c>
      <c r="I101" s="1347">
        <v>2896.3</v>
      </c>
      <c r="J101" s="1347">
        <v>113.69999999999999</v>
      </c>
      <c r="K101" s="1347">
        <v>3878.2</v>
      </c>
      <c r="L101" s="1347">
        <v>53.6</v>
      </c>
      <c r="M101" s="1347">
        <v>2801.35</v>
      </c>
      <c r="N101" s="1347">
        <v>322.67</v>
      </c>
      <c r="O101" s="1347">
        <v>131</v>
      </c>
      <c r="P101" s="1347">
        <v>0</v>
      </c>
      <c r="Q101" s="1347">
        <v>4782.97</v>
      </c>
      <c r="R101" s="1347">
        <v>26.46</v>
      </c>
      <c r="S101" s="1347">
        <v>3265.33</v>
      </c>
      <c r="T101" s="1347">
        <v>48.375</v>
      </c>
      <c r="U101" s="1347">
        <v>1543.46</v>
      </c>
      <c r="V101" s="1347">
        <v>296.39999999999998</v>
      </c>
      <c r="W101" s="1347">
        <v>0</v>
      </c>
      <c r="X101" s="1347">
        <v>2844.4998999999998</v>
      </c>
      <c r="Y101" s="1347">
        <v>362</v>
      </c>
      <c r="Z101" s="1347">
        <v>6.2</v>
      </c>
      <c r="AA101" s="1347">
        <v>1421.5</v>
      </c>
      <c r="AB101" s="1347">
        <v>79.97</v>
      </c>
      <c r="AC101" s="1347">
        <v>0</v>
      </c>
      <c r="AD101" s="1347">
        <v>0</v>
      </c>
      <c r="AE101" s="1347">
        <v>981</v>
      </c>
      <c r="AF101" s="1347">
        <v>45.48</v>
      </c>
      <c r="AG101" s="1347">
        <v>1259.69</v>
      </c>
      <c r="AH101" s="1347">
        <v>6.9</v>
      </c>
      <c r="AI101" s="1347">
        <v>2060.42</v>
      </c>
      <c r="AJ101" s="1347">
        <v>17.68</v>
      </c>
      <c r="AK101" s="1347">
        <v>5515</v>
      </c>
      <c r="AL101" s="1347">
        <v>15.45</v>
      </c>
      <c r="AM101" s="1347">
        <v>2958.5</v>
      </c>
      <c r="AN101" s="1347">
        <v>175.33333333333331</v>
      </c>
      <c r="AO101" s="1348">
        <v>40437.67</v>
      </c>
      <c r="AP101" s="1349">
        <v>4226.8607333333321</v>
      </c>
      <c r="AQ101" s="1350">
        <v>0</v>
      </c>
      <c r="AR101" s="1351">
        <v>1910.5987</v>
      </c>
      <c r="AS101" s="1352"/>
      <c r="AT101" s="1352"/>
      <c r="AU101" s="1352"/>
      <c r="AV101" s="1352"/>
      <c r="AW101" s="1352"/>
      <c r="AX101" s="1352"/>
      <c r="AY101" s="1352"/>
      <c r="AZ101" s="1352"/>
      <c r="BA101" s="1352"/>
      <c r="BB101" s="1352"/>
      <c r="BC101" s="1352"/>
      <c r="BD101" s="1352"/>
      <c r="BE101" s="1352"/>
      <c r="BF101" s="1352"/>
      <c r="BG101" s="1352"/>
      <c r="BH101" s="1352"/>
      <c r="BI101" s="1352"/>
      <c r="BJ101" s="1352"/>
      <c r="BK101" s="1352"/>
      <c r="BL101" s="1353"/>
      <c r="BM101" s="1354"/>
    </row>
    <row r="102" spans="1:68" ht="24.95" customHeight="1">
      <c r="A102" s="1345">
        <v>18</v>
      </c>
      <c r="B102" s="1346" t="s">
        <v>88</v>
      </c>
      <c r="C102" s="1347">
        <v>3601.4</v>
      </c>
      <c r="D102" s="1347">
        <v>272.60000000000002</v>
      </c>
      <c r="E102" s="1347">
        <v>1258.75</v>
      </c>
      <c r="F102" s="1347">
        <v>47.8125</v>
      </c>
      <c r="G102" s="1347">
        <v>3037.24</v>
      </c>
      <c r="H102" s="1347">
        <v>347.17</v>
      </c>
      <c r="I102" s="1347">
        <v>3519.3</v>
      </c>
      <c r="J102" s="1347">
        <v>476.3</v>
      </c>
      <c r="K102" s="1347">
        <v>4908.2000000000007</v>
      </c>
      <c r="L102" s="1347">
        <v>150.4</v>
      </c>
      <c r="M102" s="1347">
        <v>6013.5</v>
      </c>
      <c r="N102" s="1347">
        <v>349.29</v>
      </c>
      <c r="O102" s="1347">
        <v>884.5</v>
      </c>
      <c r="P102" s="1347">
        <v>5.25</v>
      </c>
      <c r="Q102" s="1347">
        <v>6239.9</v>
      </c>
      <c r="R102" s="1347">
        <v>70.27</v>
      </c>
      <c r="S102" s="1347">
        <v>1259.8400000000001</v>
      </c>
      <c r="T102" s="1347">
        <v>5</v>
      </c>
      <c r="U102" s="1347">
        <v>3460.3999999999996</v>
      </c>
      <c r="V102" s="1347">
        <v>560.79999999999995</v>
      </c>
      <c r="W102" s="1347">
        <v>0</v>
      </c>
      <c r="X102" s="1347">
        <v>3958.2083000000002</v>
      </c>
      <c r="Y102" s="1347">
        <v>2148.5</v>
      </c>
      <c r="Z102" s="1347">
        <v>68.7</v>
      </c>
      <c r="AA102" s="1347">
        <v>4710</v>
      </c>
      <c r="AB102" s="1347">
        <v>112.3</v>
      </c>
      <c r="AC102" s="1347">
        <v>462</v>
      </c>
      <c r="AD102" s="1347">
        <v>0</v>
      </c>
      <c r="AE102" s="1347">
        <v>338</v>
      </c>
      <c r="AF102" s="1347">
        <v>17.239999999999998</v>
      </c>
      <c r="AG102" s="1347">
        <v>1333.3999999999999</v>
      </c>
      <c r="AH102" s="1347">
        <v>41.46</v>
      </c>
      <c r="AI102" s="1347">
        <v>3221.97</v>
      </c>
      <c r="AJ102" s="1347">
        <v>98.61</v>
      </c>
      <c r="AK102" s="1347">
        <v>5440</v>
      </c>
      <c r="AL102" s="1347">
        <v>110.68</v>
      </c>
      <c r="AM102" s="1347">
        <v>5115.5</v>
      </c>
      <c r="AN102" s="1347">
        <v>561.41666666666686</v>
      </c>
      <c r="AO102" s="1348">
        <v>56952.4</v>
      </c>
      <c r="AP102" s="1349">
        <v>7253.5074666666669</v>
      </c>
      <c r="AQ102" s="1350">
        <v>0</v>
      </c>
      <c r="AR102" s="1351">
        <v>2662.5774999999999</v>
      </c>
      <c r="AS102" s="1352"/>
      <c r="AT102" s="1352"/>
      <c r="AU102" s="1352"/>
      <c r="AV102" s="1352"/>
      <c r="AW102" s="1352"/>
      <c r="AX102" s="1352"/>
      <c r="AY102" s="1352"/>
      <c r="AZ102" s="1352"/>
      <c r="BA102" s="1352"/>
      <c r="BB102" s="1352"/>
      <c r="BC102" s="1352"/>
      <c r="BD102" s="1352"/>
      <c r="BE102" s="1352"/>
      <c r="BF102" s="1352"/>
      <c r="BG102" s="1352"/>
      <c r="BH102" s="1352"/>
      <c r="BI102" s="1352"/>
      <c r="BJ102" s="1352"/>
      <c r="BK102" s="1352"/>
      <c r="BL102" s="1353"/>
      <c r="BM102" s="1354"/>
    </row>
    <row r="103" spans="1:68" ht="30" customHeight="1">
      <c r="A103" s="1300"/>
      <c r="B103" s="1342" t="s">
        <v>2</v>
      </c>
      <c r="C103" s="1348">
        <f t="shared" ref="C103:AN103" si="15">SUM(C88:C102)</f>
        <v>7561.4</v>
      </c>
      <c r="D103" s="1348">
        <f t="shared" si="15"/>
        <v>385.8</v>
      </c>
      <c r="E103" s="1348">
        <f t="shared" si="15"/>
        <v>3211.5</v>
      </c>
      <c r="F103" s="1348">
        <f t="shared" si="15"/>
        <v>90.375</v>
      </c>
      <c r="G103" s="1348">
        <f t="shared" si="15"/>
        <v>7091.99</v>
      </c>
      <c r="H103" s="1348">
        <f t="shared" si="15"/>
        <v>373.8</v>
      </c>
      <c r="I103" s="1348">
        <f t="shared" si="15"/>
        <v>8008.6</v>
      </c>
      <c r="J103" s="1348">
        <f t="shared" si="15"/>
        <v>590</v>
      </c>
      <c r="K103" s="1348">
        <f t="shared" si="15"/>
        <v>10327.400000000001</v>
      </c>
      <c r="L103" s="1348">
        <f t="shared" si="15"/>
        <v>204</v>
      </c>
      <c r="M103" s="1348">
        <f t="shared" si="15"/>
        <v>10318.35</v>
      </c>
      <c r="N103" s="1348">
        <f t="shared" si="15"/>
        <v>706.96</v>
      </c>
      <c r="O103" s="1348">
        <f t="shared" si="15"/>
        <v>1015.5</v>
      </c>
      <c r="P103" s="1348">
        <f t="shared" si="15"/>
        <v>5.25</v>
      </c>
      <c r="Q103" s="1348">
        <f t="shared" si="15"/>
        <v>13027.869999999999</v>
      </c>
      <c r="R103" s="1348">
        <f t="shared" si="15"/>
        <v>106.21</v>
      </c>
      <c r="S103" s="1348">
        <f t="shared" si="15"/>
        <v>4525.17</v>
      </c>
      <c r="T103" s="1348">
        <f t="shared" si="15"/>
        <v>53.375</v>
      </c>
      <c r="U103" s="1348">
        <f t="shared" si="15"/>
        <v>5003.8599999999997</v>
      </c>
      <c r="V103" s="1348">
        <f t="shared" si="15"/>
        <v>857.19999999999993</v>
      </c>
      <c r="W103" s="1348">
        <f t="shared" si="15"/>
        <v>0</v>
      </c>
      <c r="X103" s="1348">
        <f t="shared" si="15"/>
        <v>6802.7082</v>
      </c>
      <c r="Y103" s="1348">
        <f t="shared" si="15"/>
        <v>2578.5</v>
      </c>
      <c r="Z103" s="1348">
        <f t="shared" si="15"/>
        <v>75.650000000000006</v>
      </c>
      <c r="AA103" s="1348">
        <f t="shared" si="15"/>
        <v>6928.5</v>
      </c>
      <c r="AB103" s="1348">
        <f t="shared" si="15"/>
        <v>192.26999999999998</v>
      </c>
      <c r="AC103" s="1348">
        <f t="shared" si="15"/>
        <v>559</v>
      </c>
      <c r="AD103" s="1348">
        <f t="shared" si="15"/>
        <v>0</v>
      </c>
      <c r="AE103" s="1348">
        <f t="shared" si="15"/>
        <v>1319</v>
      </c>
      <c r="AF103" s="1348">
        <f t="shared" si="15"/>
        <v>62.72</v>
      </c>
      <c r="AG103" s="1348">
        <f t="shared" si="15"/>
        <v>2770.09</v>
      </c>
      <c r="AH103" s="1348">
        <f t="shared" si="15"/>
        <v>48.36</v>
      </c>
      <c r="AI103" s="1348">
        <f t="shared" si="15"/>
        <v>6430.8899999999994</v>
      </c>
      <c r="AJ103" s="1348">
        <f t="shared" si="15"/>
        <v>117.28999999999999</v>
      </c>
      <c r="AK103" s="1348">
        <f t="shared" si="15"/>
        <v>11505.5</v>
      </c>
      <c r="AL103" s="1348">
        <f t="shared" si="15"/>
        <v>127.33000000000001</v>
      </c>
      <c r="AM103" s="1348">
        <f t="shared" si="15"/>
        <v>10391</v>
      </c>
      <c r="AN103" s="1358">
        <f t="shared" si="15"/>
        <v>740.08333333333348</v>
      </c>
      <c r="AO103" s="1348">
        <f t="shared" ref="AO103:AP104" si="16">SUM(C103,E103,G103,I103,K103,M103,O103,Q103,S103,U103,W103,Y103,AA103,AC103,AE103,AG103,AI103,AK103,AM103)</f>
        <v>112574.12</v>
      </c>
      <c r="AP103" s="1349">
        <f t="shared" si="16"/>
        <v>11539.381533333335</v>
      </c>
      <c r="AQ103" s="1359">
        <f>SUM(AQ88:AQ102)</f>
        <v>0</v>
      </c>
      <c r="AR103" s="1349">
        <f>SUM(AR88:AR102)</f>
        <v>4573.1761999999999</v>
      </c>
      <c r="AS103" s="1352"/>
      <c r="AT103" s="1352"/>
      <c r="AU103" s="1352"/>
      <c r="AV103" s="1352"/>
      <c r="AW103" s="1352"/>
      <c r="AX103" s="1352"/>
      <c r="AY103" s="1352"/>
      <c r="AZ103" s="1352"/>
      <c r="BA103" s="1352"/>
      <c r="BB103" s="1352"/>
      <c r="BC103" s="1352"/>
      <c r="BD103" s="1352"/>
      <c r="BE103" s="1352"/>
      <c r="BF103" s="1352"/>
      <c r="BG103" s="1352"/>
      <c r="BH103" s="1352"/>
      <c r="BI103" s="1352"/>
      <c r="BJ103" s="1352"/>
      <c r="BK103" s="1352"/>
      <c r="BL103" s="1373"/>
      <c r="BM103" s="1354"/>
    </row>
    <row r="104" spans="1:68" s="1384" customFormat="1" ht="30" customHeight="1" thickBot="1">
      <c r="A104" s="1374">
        <v>19</v>
      </c>
      <c r="B104" s="1375" t="s">
        <v>91</v>
      </c>
      <c r="C104" s="1376">
        <f t="shared" ref="C104:AN104" si="17">SUM(C73,C78,C84,C103)</f>
        <v>8834.6999999999989</v>
      </c>
      <c r="D104" s="1376">
        <f t="shared" si="17"/>
        <v>723.7</v>
      </c>
      <c r="E104" s="1376">
        <f t="shared" si="17"/>
        <v>3317</v>
      </c>
      <c r="F104" s="1376">
        <f t="shared" si="17"/>
        <v>148.21</v>
      </c>
      <c r="G104" s="1376">
        <f t="shared" si="17"/>
        <v>8038.5199999999995</v>
      </c>
      <c r="H104" s="1376">
        <f t="shared" si="17"/>
        <v>1035.01</v>
      </c>
      <c r="I104" s="1376">
        <f t="shared" si="17"/>
        <v>8626.6</v>
      </c>
      <c r="J104" s="1376">
        <f t="shared" si="17"/>
        <v>836.84799999999996</v>
      </c>
      <c r="K104" s="1376">
        <f t="shared" si="17"/>
        <v>12399.400000000001</v>
      </c>
      <c r="L104" s="1376">
        <f t="shared" si="17"/>
        <v>498.3</v>
      </c>
      <c r="M104" s="1376">
        <f t="shared" si="17"/>
        <v>10751.85</v>
      </c>
      <c r="N104" s="1376">
        <f t="shared" si="17"/>
        <v>927.40000000000009</v>
      </c>
      <c r="O104" s="1376">
        <f t="shared" si="17"/>
        <v>1285</v>
      </c>
      <c r="P104" s="1376">
        <f t="shared" si="17"/>
        <v>22.75</v>
      </c>
      <c r="Q104" s="1376">
        <f t="shared" si="17"/>
        <v>15536.97</v>
      </c>
      <c r="R104" s="1376">
        <f t="shared" si="17"/>
        <v>946.23</v>
      </c>
      <c r="S104" s="1376">
        <f t="shared" si="17"/>
        <v>5392.07</v>
      </c>
      <c r="T104" s="1376">
        <f t="shared" si="17"/>
        <v>140.85500000000002</v>
      </c>
      <c r="U104" s="1376">
        <f t="shared" si="17"/>
        <v>5111.8599999999997</v>
      </c>
      <c r="V104" s="1376">
        <f t="shared" si="17"/>
        <v>939.59999999999991</v>
      </c>
      <c r="W104" s="1376">
        <f t="shared" si="17"/>
        <v>0</v>
      </c>
      <c r="X104" s="1376">
        <f t="shared" si="17"/>
        <v>6930.0420000000004</v>
      </c>
      <c r="Y104" s="1376">
        <f t="shared" si="17"/>
        <v>2788.5</v>
      </c>
      <c r="Z104" s="1376">
        <f t="shared" si="17"/>
        <v>244.84</v>
      </c>
      <c r="AA104" s="1376">
        <f t="shared" si="17"/>
        <v>7146.33</v>
      </c>
      <c r="AB104" s="1376">
        <f t="shared" si="17"/>
        <v>376.15999999999997</v>
      </c>
      <c r="AC104" s="1376">
        <f t="shared" si="17"/>
        <v>642</v>
      </c>
      <c r="AD104" s="1376">
        <f t="shared" si="17"/>
        <v>15</v>
      </c>
      <c r="AE104" s="1376">
        <f t="shared" si="17"/>
        <v>1319</v>
      </c>
      <c r="AF104" s="1376">
        <f t="shared" si="17"/>
        <v>77.22</v>
      </c>
      <c r="AG104" s="1376">
        <f t="shared" si="17"/>
        <v>3705.09</v>
      </c>
      <c r="AH104" s="1376">
        <f t="shared" si="17"/>
        <v>112.64</v>
      </c>
      <c r="AI104" s="1376">
        <f t="shared" si="17"/>
        <v>6927.7099999999991</v>
      </c>
      <c r="AJ104" s="1376">
        <f t="shared" si="17"/>
        <v>382.74</v>
      </c>
      <c r="AK104" s="1376">
        <f t="shared" si="17"/>
        <v>13501.83</v>
      </c>
      <c r="AL104" s="1376">
        <f t="shared" si="17"/>
        <v>461.55999999999995</v>
      </c>
      <c r="AM104" s="1376">
        <f t="shared" si="17"/>
        <v>11118</v>
      </c>
      <c r="AN104" s="1377">
        <f t="shared" si="17"/>
        <v>1077.75</v>
      </c>
      <c r="AO104" s="1376">
        <f t="shared" si="16"/>
        <v>126442.42999999998</v>
      </c>
      <c r="AP104" s="1378">
        <f t="shared" si="16"/>
        <v>15896.854999999998</v>
      </c>
      <c r="AQ104" s="1379">
        <f>SUM(AQ73,AQ78,AQ84,AQ103)</f>
        <v>0</v>
      </c>
      <c r="AR104" s="1378">
        <f>SUM(AR73,AR78,AR84,AR103)</f>
        <v>4671.0562</v>
      </c>
      <c r="AS104" s="1380"/>
      <c r="AT104" s="1380"/>
      <c r="AU104" s="1380"/>
      <c r="AV104" s="1380"/>
      <c r="AW104" s="1380"/>
      <c r="AX104" s="1380"/>
      <c r="AY104" s="1380"/>
      <c r="AZ104" s="1380"/>
      <c r="BA104" s="1380"/>
      <c r="BB104" s="1380"/>
      <c r="BC104" s="1380"/>
      <c r="BD104" s="1380"/>
      <c r="BE104" s="1380"/>
      <c r="BF104" s="1380"/>
      <c r="BG104" s="1380"/>
      <c r="BH104" s="1380"/>
      <c r="BI104" s="1380"/>
      <c r="BJ104" s="1380"/>
      <c r="BK104" s="1380"/>
      <c r="BL104" s="1381"/>
      <c r="BM104" s="1382"/>
      <c r="BN104" s="1383"/>
      <c r="BO104" s="1383"/>
      <c r="BP104" s="1383"/>
    </row>
    <row r="105" spans="1:68" ht="24.95" customHeight="1">
      <c r="A105" s="1385" t="s">
        <v>101</v>
      </c>
      <c r="C105" s="1386">
        <v>8834.6999999999989</v>
      </c>
      <c r="D105" s="1386">
        <v>723.7</v>
      </c>
      <c r="E105" s="1386">
        <v>3317</v>
      </c>
      <c r="F105" s="1386">
        <v>148.21</v>
      </c>
      <c r="G105" s="1386">
        <v>8038.5199999999995</v>
      </c>
      <c r="H105" s="1386">
        <v>1035.01</v>
      </c>
      <c r="I105" s="1386">
        <v>8626.6</v>
      </c>
      <c r="J105" s="1386">
        <v>836.84799999999996</v>
      </c>
      <c r="K105" s="1386">
        <v>12399.400000000001</v>
      </c>
      <c r="L105" s="1386">
        <v>498.3</v>
      </c>
      <c r="M105" s="1386">
        <v>10751.85</v>
      </c>
      <c r="N105" s="1386">
        <v>927.40000000000009</v>
      </c>
      <c r="O105" s="1386">
        <v>1285</v>
      </c>
      <c r="P105" s="1386">
        <v>22.75</v>
      </c>
      <c r="Q105" s="1386">
        <v>15536.97</v>
      </c>
      <c r="R105" s="1386">
        <v>946.23</v>
      </c>
      <c r="S105" s="1386">
        <v>5392.07</v>
      </c>
      <c r="T105" s="1386">
        <v>140.85500000000002</v>
      </c>
      <c r="U105" s="1386">
        <v>5111.8599999999997</v>
      </c>
      <c r="V105" s="1386">
        <v>939.59999999999991</v>
      </c>
      <c r="W105" s="1386">
        <v>0</v>
      </c>
      <c r="X105" s="1386">
        <v>6930.0420000000004</v>
      </c>
      <c r="Y105" s="1386">
        <v>2788.5</v>
      </c>
      <c r="Z105" s="1386">
        <v>244.84</v>
      </c>
      <c r="AA105" s="1386">
        <v>7146.33</v>
      </c>
      <c r="AB105" s="1386">
        <v>376.15999999999997</v>
      </c>
      <c r="AC105" s="1386">
        <v>642</v>
      </c>
      <c r="AD105" s="1386">
        <v>15</v>
      </c>
      <c r="AE105" s="1386">
        <v>1319</v>
      </c>
      <c r="AF105" s="1386">
        <v>77.22</v>
      </c>
      <c r="AG105" s="1386">
        <v>3705.09</v>
      </c>
      <c r="AH105" s="1386">
        <v>112.64</v>
      </c>
      <c r="AI105" s="1386">
        <v>6927.7099999999991</v>
      </c>
      <c r="AJ105" s="1386">
        <v>382.74</v>
      </c>
      <c r="AK105" s="1386">
        <v>13501.83</v>
      </c>
      <c r="AL105" s="1386">
        <v>461.55999999999995</v>
      </c>
      <c r="AM105" s="1386">
        <v>11118</v>
      </c>
      <c r="AN105" s="1386">
        <v>1077.75</v>
      </c>
      <c r="AO105" s="1386">
        <v>126442.43</v>
      </c>
      <c r="AP105" s="1386">
        <v>15896.855</v>
      </c>
      <c r="AQ105" s="1386">
        <v>0</v>
      </c>
      <c r="AR105" s="1386">
        <v>4671.0562</v>
      </c>
      <c r="AS105" s="1102"/>
      <c r="AT105" s="1102"/>
      <c r="AU105" s="1102"/>
      <c r="AV105" s="1102"/>
      <c r="AW105" s="1102"/>
      <c r="AX105" s="1102"/>
      <c r="AY105" s="1102"/>
      <c r="AZ105" s="1102"/>
      <c r="BA105" s="1102"/>
      <c r="BB105" s="1102"/>
      <c r="BC105" s="1102"/>
      <c r="BD105" s="1102"/>
      <c r="BE105" s="1102"/>
      <c r="BF105" s="1102"/>
      <c r="BG105" s="1102"/>
      <c r="BH105" s="1102"/>
      <c r="BI105" s="1102"/>
      <c r="BJ105" s="1102"/>
      <c r="BK105" s="1102"/>
      <c r="BL105" s="1102"/>
      <c r="BM105" s="1102"/>
    </row>
    <row r="106" spans="1:68" ht="20.100000000000001" customHeight="1">
      <c r="A106" s="1385" t="s">
        <v>332</v>
      </c>
      <c r="C106" s="1387">
        <f>C105-C104</f>
        <v>0</v>
      </c>
      <c r="D106" s="1387">
        <f t="shared" ref="D106:AR106" si="18">D105-D104</f>
        <v>0</v>
      </c>
      <c r="E106" s="1387">
        <f t="shared" si="18"/>
        <v>0</v>
      </c>
      <c r="F106" s="1387">
        <f t="shared" si="18"/>
        <v>0</v>
      </c>
      <c r="G106" s="1387">
        <f t="shared" si="18"/>
        <v>0</v>
      </c>
      <c r="H106" s="1387">
        <f t="shared" si="18"/>
        <v>0</v>
      </c>
      <c r="I106" s="1387">
        <f t="shared" si="18"/>
        <v>0</v>
      </c>
      <c r="J106" s="1387">
        <f t="shared" si="18"/>
        <v>0</v>
      </c>
      <c r="K106" s="1387">
        <f t="shared" si="18"/>
        <v>0</v>
      </c>
      <c r="L106" s="1387">
        <f t="shared" si="18"/>
        <v>0</v>
      </c>
      <c r="M106" s="1387">
        <f t="shared" si="18"/>
        <v>0</v>
      </c>
      <c r="N106" s="1387">
        <f t="shared" si="18"/>
        <v>0</v>
      </c>
      <c r="O106" s="1387">
        <f t="shared" si="18"/>
        <v>0</v>
      </c>
      <c r="P106" s="1387">
        <f t="shared" si="18"/>
        <v>0</v>
      </c>
      <c r="Q106" s="1387">
        <f t="shared" si="18"/>
        <v>0</v>
      </c>
      <c r="R106" s="1387">
        <f t="shared" si="18"/>
        <v>0</v>
      </c>
      <c r="S106" s="1387">
        <f t="shared" si="18"/>
        <v>0</v>
      </c>
      <c r="T106" s="1387">
        <f t="shared" si="18"/>
        <v>0</v>
      </c>
      <c r="U106" s="1387">
        <f t="shared" si="18"/>
        <v>0</v>
      </c>
      <c r="V106" s="1387">
        <f t="shared" si="18"/>
        <v>0</v>
      </c>
      <c r="W106" s="1387">
        <f t="shared" si="18"/>
        <v>0</v>
      </c>
      <c r="X106" s="1387">
        <f t="shared" si="18"/>
        <v>0</v>
      </c>
      <c r="Y106" s="1387">
        <f t="shared" si="18"/>
        <v>0</v>
      </c>
      <c r="Z106" s="1387">
        <f t="shared" si="18"/>
        <v>0</v>
      </c>
      <c r="AA106" s="1387">
        <f t="shared" si="18"/>
        <v>0</v>
      </c>
      <c r="AB106" s="1387">
        <f t="shared" si="18"/>
        <v>0</v>
      </c>
      <c r="AC106" s="1387">
        <f t="shared" si="18"/>
        <v>0</v>
      </c>
      <c r="AD106" s="1387">
        <f t="shared" si="18"/>
        <v>0</v>
      </c>
      <c r="AE106" s="1387">
        <f t="shared" si="18"/>
        <v>0</v>
      </c>
      <c r="AF106" s="1387">
        <f t="shared" si="18"/>
        <v>0</v>
      </c>
      <c r="AG106" s="1387">
        <f t="shared" si="18"/>
        <v>0</v>
      </c>
      <c r="AH106" s="1387">
        <f t="shared" si="18"/>
        <v>0</v>
      </c>
      <c r="AI106" s="1387">
        <f t="shared" si="18"/>
        <v>0</v>
      </c>
      <c r="AJ106" s="1387">
        <f t="shared" si="18"/>
        <v>0</v>
      </c>
      <c r="AK106" s="1387">
        <f t="shared" si="18"/>
        <v>0</v>
      </c>
      <c r="AL106" s="1387">
        <f t="shared" si="18"/>
        <v>0</v>
      </c>
      <c r="AM106" s="1387">
        <f t="shared" si="18"/>
        <v>0</v>
      </c>
      <c r="AN106" s="1387">
        <f t="shared" si="18"/>
        <v>0</v>
      </c>
      <c r="AO106" s="1387">
        <f t="shared" si="18"/>
        <v>0</v>
      </c>
      <c r="AP106" s="1387">
        <f t="shared" si="18"/>
        <v>0</v>
      </c>
      <c r="AQ106" s="1387">
        <f t="shared" si="18"/>
        <v>0</v>
      </c>
      <c r="AR106" s="1387">
        <f t="shared" si="18"/>
        <v>0</v>
      </c>
      <c r="AS106" s="1102"/>
      <c r="AT106" s="1102"/>
      <c r="AU106" s="1102"/>
      <c r="AV106" s="1102"/>
      <c r="AW106" s="1102"/>
      <c r="AX106" s="1102"/>
      <c r="AY106" s="1102"/>
      <c r="AZ106" s="1102"/>
      <c r="BA106" s="1102"/>
      <c r="BB106" s="1102"/>
      <c r="BC106" s="1102"/>
      <c r="BD106" s="1102"/>
      <c r="BE106" s="1102"/>
      <c r="BF106" s="1102"/>
      <c r="BG106" s="1102"/>
      <c r="BH106" s="1102"/>
      <c r="BI106" s="1102"/>
      <c r="BJ106" s="1102"/>
      <c r="BK106" s="1102"/>
      <c r="BL106" s="1102"/>
      <c r="BM106" s="1102"/>
    </row>
    <row r="108" spans="1:68" ht="20.100000000000001" customHeight="1">
      <c r="A108" s="1235" t="s">
        <v>333</v>
      </c>
    </row>
    <row r="110" spans="1:68" ht="20.100000000000001" customHeight="1">
      <c r="A110" s="1388" t="s">
        <v>117</v>
      </c>
    </row>
    <row r="111" spans="1:68" ht="20.100000000000001" customHeight="1">
      <c r="A111" s="1205">
        <v>1</v>
      </c>
      <c r="B111" s="1205">
        <v>2</v>
      </c>
      <c r="C111" s="1205">
        <v>3</v>
      </c>
      <c r="D111" s="1205">
        <v>4</v>
      </c>
      <c r="E111" s="1205">
        <v>5</v>
      </c>
      <c r="F111" s="1205">
        <v>6</v>
      </c>
      <c r="G111" s="1205">
        <v>7</v>
      </c>
      <c r="H111" s="1205">
        <v>8</v>
      </c>
      <c r="I111" s="1205">
        <v>9</v>
      </c>
      <c r="J111" s="1205">
        <v>10</v>
      </c>
      <c r="K111" s="1205">
        <v>11</v>
      </c>
      <c r="L111" s="1205">
        <v>12</v>
      </c>
      <c r="M111" s="1205">
        <v>13</v>
      </c>
      <c r="N111" s="1205">
        <v>14</v>
      </c>
      <c r="O111" s="1205">
        <v>15</v>
      </c>
      <c r="P111" s="1205">
        <v>16</v>
      </c>
      <c r="Q111" s="1205">
        <v>17</v>
      </c>
      <c r="R111" s="1205">
        <v>18</v>
      </c>
      <c r="S111" s="1205">
        <v>19</v>
      </c>
      <c r="T111" s="1205">
        <v>20</v>
      </c>
      <c r="U111" s="1205">
        <v>21</v>
      </c>
      <c r="V111" s="1205">
        <v>22</v>
      </c>
      <c r="W111" s="1205">
        <v>23</v>
      </c>
      <c r="X111" s="1205">
        <v>24</v>
      </c>
      <c r="Y111" s="1205">
        <v>25</v>
      </c>
      <c r="Z111" s="1205">
        <v>26</v>
      </c>
      <c r="AA111" s="1205">
        <v>27</v>
      </c>
      <c r="AB111" s="1205">
        <v>28</v>
      </c>
      <c r="AC111" s="1205">
        <v>29</v>
      </c>
      <c r="AD111" s="1205">
        <v>30</v>
      </c>
      <c r="AE111" s="1205">
        <v>31</v>
      </c>
      <c r="AF111" s="1205">
        <v>32</v>
      </c>
      <c r="AG111" s="1205">
        <v>33</v>
      </c>
      <c r="AH111" s="1205">
        <v>34</v>
      </c>
      <c r="AI111" s="1205">
        <v>35</v>
      </c>
      <c r="AJ111" s="1205">
        <v>36</v>
      </c>
      <c r="AK111" s="1205">
        <v>37</v>
      </c>
      <c r="AL111" s="1205">
        <v>38</v>
      </c>
      <c r="AM111" s="1205">
        <v>39</v>
      </c>
      <c r="AN111" s="1205">
        <v>40</v>
      </c>
      <c r="AO111" s="1205">
        <v>41</v>
      </c>
      <c r="AP111" s="1205">
        <v>42</v>
      </c>
      <c r="AQ111" s="1205">
        <v>43</v>
      </c>
      <c r="AR111" s="1205">
        <v>44</v>
      </c>
      <c r="AS111" s="1205">
        <v>45</v>
      </c>
      <c r="AT111" s="1205">
        <v>46</v>
      </c>
      <c r="AU111" s="1205">
        <v>47</v>
      </c>
      <c r="AV111" s="1205">
        <v>48</v>
      </c>
      <c r="AW111" s="1205">
        <v>49</v>
      </c>
      <c r="AX111" s="1205">
        <v>50</v>
      </c>
      <c r="AY111" s="1205">
        <v>51</v>
      </c>
      <c r="AZ111" s="1205">
        <v>52</v>
      </c>
      <c r="BA111" s="1205">
        <v>53</v>
      </c>
      <c r="BB111" s="1205">
        <v>54</v>
      </c>
      <c r="BC111" s="1205">
        <v>55</v>
      </c>
      <c r="BD111" s="1205">
        <v>56</v>
      </c>
      <c r="BE111" s="1205">
        <v>57</v>
      </c>
      <c r="BF111" s="1205">
        <v>58</v>
      </c>
      <c r="BG111" s="1205">
        <v>59</v>
      </c>
      <c r="BH111" s="1205">
        <v>60</v>
      </c>
      <c r="BI111" s="1205">
        <v>61</v>
      </c>
      <c r="BJ111" s="1205">
        <v>62</v>
      </c>
      <c r="BK111" s="1205">
        <v>63</v>
      </c>
      <c r="BL111" s="1205">
        <v>64</v>
      </c>
      <c r="BM111" s="1205">
        <v>65</v>
      </c>
    </row>
    <row r="112" spans="1:68" ht="15.75" thickBot="1"/>
    <row r="113" spans="1:68" ht="30" customHeight="1">
      <c r="A113" s="1206"/>
      <c r="B113" s="1299"/>
      <c r="C113" s="1955" t="s">
        <v>78</v>
      </c>
      <c r="D113" s="1931"/>
      <c r="E113" s="1931"/>
      <c r="F113" s="1931"/>
      <c r="G113" s="1931"/>
      <c r="H113" s="1931"/>
      <c r="I113" s="1931"/>
      <c r="J113" s="1931"/>
      <c r="K113" s="1931"/>
      <c r="L113" s="1931"/>
      <c r="M113" s="1931"/>
      <c r="N113" s="1931"/>
      <c r="O113" s="1931"/>
      <c r="P113" s="1931"/>
      <c r="Q113" s="1931"/>
      <c r="R113" s="1931"/>
      <c r="S113" s="1931"/>
      <c r="T113" s="1931"/>
      <c r="U113" s="1931"/>
      <c r="V113" s="1931"/>
      <c r="W113" s="1931"/>
      <c r="X113" s="1931"/>
      <c r="Y113" s="1931"/>
      <c r="Z113" s="1931"/>
      <c r="AA113" s="1931"/>
      <c r="AB113" s="1931"/>
      <c r="AC113" s="1931"/>
      <c r="AD113" s="1931"/>
      <c r="AE113" s="1931"/>
      <c r="AF113" s="1931"/>
      <c r="AG113" s="1931"/>
      <c r="AH113" s="1931"/>
      <c r="AI113" s="1931"/>
      <c r="AJ113" s="1931"/>
      <c r="AK113" s="1931"/>
      <c r="AL113" s="1931"/>
      <c r="AM113" s="1931"/>
      <c r="AN113" s="1931"/>
      <c r="AO113" s="1931"/>
      <c r="AP113" s="1931"/>
      <c r="AQ113" s="1931"/>
      <c r="AR113" s="1932"/>
      <c r="AS113" s="1930" t="s">
        <v>299</v>
      </c>
      <c r="AT113" s="1931"/>
      <c r="AU113" s="1931"/>
      <c r="AV113" s="1931"/>
      <c r="AW113" s="1931"/>
      <c r="AX113" s="1931"/>
      <c r="AY113" s="1931"/>
      <c r="AZ113" s="1931"/>
      <c r="BA113" s="1931"/>
      <c r="BB113" s="1931"/>
      <c r="BC113" s="1931"/>
      <c r="BD113" s="1931"/>
      <c r="BE113" s="1931"/>
      <c r="BF113" s="1931"/>
      <c r="BG113" s="1931"/>
      <c r="BH113" s="1931"/>
      <c r="BI113" s="1931"/>
      <c r="BJ113" s="1931"/>
      <c r="BK113" s="1931"/>
      <c r="BL113" s="1931"/>
      <c r="BM113" s="1932"/>
      <c r="BN113" s="1193"/>
      <c r="BO113" s="1193"/>
      <c r="BP113" s="1193"/>
    </row>
    <row r="114" spans="1:68" ht="60" customHeight="1">
      <c r="A114" s="1300"/>
      <c r="B114" s="1301"/>
      <c r="C114" s="1948" t="s">
        <v>131</v>
      </c>
      <c r="D114" s="1956"/>
      <c r="E114" s="1939" t="s">
        <v>132</v>
      </c>
      <c r="F114" s="1940"/>
      <c r="G114" s="1948" t="s">
        <v>133</v>
      </c>
      <c r="H114" s="1956"/>
      <c r="I114" s="1957" t="s">
        <v>141</v>
      </c>
      <c r="J114" s="1940"/>
      <c r="K114" s="1948" t="s">
        <v>140</v>
      </c>
      <c r="L114" s="1956"/>
      <c r="M114" s="1939" t="s">
        <v>327</v>
      </c>
      <c r="N114" s="1948"/>
      <c r="O114" s="1939" t="s">
        <v>328</v>
      </c>
      <c r="P114" s="1940"/>
      <c r="Q114" s="1939" t="s">
        <v>301</v>
      </c>
      <c r="R114" s="1940"/>
      <c r="S114" s="1939" t="s">
        <v>142</v>
      </c>
      <c r="T114" s="1949"/>
      <c r="U114" s="1939" t="s">
        <v>329</v>
      </c>
      <c r="V114" s="1949"/>
      <c r="W114" s="1939" t="s">
        <v>143</v>
      </c>
      <c r="X114" s="1949"/>
      <c r="Y114" s="1939" t="s">
        <v>330</v>
      </c>
      <c r="Z114" s="1949"/>
      <c r="AA114" s="1939" t="s">
        <v>138</v>
      </c>
      <c r="AB114" s="1948"/>
      <c r="AC114" s="1963" t="s">
        <v>331</v>
      </c>
      <c r="AD114" s="1964"/>
      <c r="AE114" s="1950" t="s">
        <v>174</v>
      </c>
      <c r="AF114" s="1940"/>
      <c r="AG114" s="1939" t="s">
        <v>137</v>
      </c>
      <c r="AH114" s="1949"/>
      <c r="AI114" s="1939" t="s">
        <v>136</v>
      </c>
      <c r="AJ114" s="1949"/>
      <c r="AK114" s="1939" t="s">
        <v>135</v>
      </c>
      <c r="AL114" s="1949"/>
      <c r="AM114" s="1958" t="s">
        <v>134</v>
      </c>
      <c r="AN114" s="1962"/>
      <c r="AO114" s="1960" t="s">
        <v>2</v>
      </c>
      <c r="AP114" s="1961"/>
      <c r="AQ114" s="1951" t="s">
        <v>144</v>
      </c>
      <c r="AR114" s="1952"/>
      <c r="AS114" s="1411" t="s">
        <v>131</v>
      </c>
      <c r="AT114" s="1404" t="s">
        <v>132</v>
      </c>
      <c r="AU114" s="1404" t="s">
        <v>133</v>
      </c>
      <c r="AV114" s="1404" t="s">
        <v>141</v>
      </c>
      <c r="AW114" s="1404" t="s">
        <v>140</v>
      </c>
      <c r="AX114" s="1404" t="s">
        <v>139</v>
      </c>
      <c r="AY114" s="1404" t="s">
        <v>300</v>
      </c>
      <c r="AZ114" s="1404" t="s">
        <v>301</v>
      </c>
      <c r="BA114" s="1404" t="s">
        <v>142</v>
      </c>
      <c r="BB114" s="1928" t="s">
        <v>302</v>
      </c>
      <c r="BC114" s="1404" t="s">
        <v>303</v>
      </c>
      <c r="BD114" s="1404" t="s">
        <v>304</v>
      </c>
      <c r="BE114" s="1404" t="s">
        <v>305</v>
      </c>
      <c r="BF114" s="1304" t="s">
        <v>306</v>
      </c>
      <c r="BG114" s="1305" t="s">
        <v>174</v>
      </c>
      <c r="BH114" s="1404" t="s">
        <v>137</v>
      </c>
      <c r="BI114" s="1404" t="s">
        <v>136</v>
      </c>
      <c r="BJ114" s="1404" t="s">
        <v>135</v>
      </c>
      <c r="BK114" s="1404" t="s">
        <v>307</v>
      </c>
      <c r="BL114" s="1306" t="s">
        <v>2</v>
      </c>
      <c r="BM114" s="1307" t="s">
        <v>308</v>
      </c>
      <c r="BN114" s="1193"/>
      <c r="BO114" s="1193"/>
      <c r="BP114" s="1193"/>
    </row>
    <row r="115" spans="1:68" ht="24.95" customHeight="1">
      <c r="A115" s="1300"/>
      <c r="B115" s="1308" t="s">
        <v>145</v>
      </c>
      <c r="C115" s="1309" t="s">
        <v>43</v>
      </c>
      <c r="D115" s="1310" t="s">
        <v>32</v>
      </c>
      <c r="E115" s="1310" t="s">
        <v>43</v>
      </c>
      <c r="F115" s="1310" t="s">
        <v>32</v>
      </c>
      <c r="G115" s="1310" t="s">
        <v>43</v>
      </c>
      <c r="H115" s="1310" t="s">
        <v>32</v>
      </c>
      <c r="I115" s="1310" t="s">
        <v>43</v>
      </c>
      <c r="J115" s="1310" t="s">
        <v>32</v>
      </c>
      <c r="K115" s="1310" t="s">
        <v>43</v>
      </c>
      <c r="L115" s="1310" t="s">
        <v>32</v>
      </c>
      <c r="M115" s="1310" t="s">
        <v>43</v>
      </c>
      <c r="N115" s="1310" t="s">
        <v>32</v>
      </c>
      <c r="O115" s="1310" t="s">
        <v>43</v>
      </c>
      <c r="P115" s="1310" t="s">
        <v>32</v>
      </c>
      <c r="Q115" s="1310" t="s">
        <v>43</v>
      </c>
      <c r="R115" s="1310" t="s">
        <v>32</v>
      </c>
      <c r="S115" s="1310" t="s">
        <v>43</v>
      </c>
      <c r="T115" s="1310" t="s">
        <v>32</v>
      </c>
      <c r="U115" s="1310" t="s">
        <v>43</v>
      </c>
      <c r="V115" s="1310" t="s">
        <v>32</v>
      </c>
      <c r="W115" s="1310" t="s">
        <v>43</v>
      </c>
      <c r="X115" s="1310" t="s">
        <v>32</v>
      </c>
      <c r="Y115" s="1310" t="s">
        <v>43</v>
      </c>
      <c r="Z115" s="1310" t="s">
        <v>32</v>
      </c>
      <c r="AA115" s="1310" t="s">
        <v>43</v>
      </c>
      <c r="AB115" s="1310" t="s">
        <v>32</v>
      </c>
      <c r="AC115" s="1310" t="s">
        <v>43</v>
      </c>
      <c r="AD115" s="1310" t="s">
        <v>32</v>
      </c>
      <c r="AE115" s="1310" t="s">
        <v>43</v>
      </c>
      <c r="AF115" s="1310" t="s">
        <v>32</v>
      </c>
      <c r="AG115" s="1310" t="s">
        <v>43</v>
      </c>
      <c r="AH115" s="1310" t="s">
        <v>32</v>
      </c>
      <c r="AI115" s="1310" t="s">
        <v>43</v>
      </c>
      <c r="AJ115" s="1310" t="s">
        <v>32</v>
      </c>
      <c r="AK115" s="1310" t="s">
        <v>43</v>
      </c>
      <c r="AL115" s="1310" t="s">
        <v>32</v>
      </c>
      <c r="AM115" s="1310" t="s">
        <v>43</v>
      </c>
      <c r="AN115" s="1389" t="s">
        <v>32</v>
      </c>
      <c r="AO115" s="1310" t="s">
        <v>43</v>
      </c>
      <c r="AP115" s="1311" t="s">
        <v>32</v>
      </c>
      <c r="AQ115" s="1390" t="s">
        <v>43</v>
      </c>
      <c r="AR115" s="1311" t="s">
        <v>32</v>
      </c>
      <c r="AS115" s="1407"/>
      <c r="AT115" s="1260"/>
      <c r="AU115" s="1260"/>
      <c r="AV115" s="1260"/>
      <c r="AW115" s="1260"/>
      <c r="AX115" s="1260"/>
      <c r="AY115" s="1260"/>
      <c r="AZ115" s="1260"/>
      <c r="BA115" s="1260"/>
      <c r="BB115" s="1929"/>
      <c r="BC115" s="1260"/>
      <c r="BD115" s="1260"/>
      <c r="BE115" s="1260"/>
      <c r="BF115" s="1260"/>
      <c r="BG115" s="1260"/>
      <c r="BH115" s="1260"/>
      <c r="BI115" s="1260"/>
      <c r="BJ115" s="1260"/>
      <c r="BK115" s="1260"/>
      <c r="BL115" s="1261"/>
      <c r="BM115" s="1313"/>
      <c r="BN115" s="1193"/>
      <c r="BO115" s="1193"/>
      <c r="BP115" s="1193"/>
    </row>
    <row r="116" spans="1:68" ht="24.95" customHeight="1">
      <c r="A116" s="1314"/>
      <c r="B116" s="1315"/>
      <c r="C116" s="1309" t="s">
        <v>18</v>
      </c>
      <c r="D116" s="1261" t="s">
        <v>18</v>
      </c>
      <c r="E116" s="1260" t="s">
        <v>18</v>
      </c>
      <c r="F116" s="1261" t="s">
        <v>18</v>
      </c>
      <c r="G116" s="1260" t="s">
        <v>18</v>
      </c>
      <c r="H116" s="1259" t="s">
        <v>18</v>
      </c>
      <c r="I116" s="1259" t="s">
        <v>18</v>
      </c>
      <c r="J116" s="1259" t="s">
        <v>18</v>
      </c>
      <c r="K116" s="1259" t="s">
        <v>18</v>
      </c>
      <c r="L116" s="1259" t="s">
        <v>18</v>
      </c>
      <c r="M116" s="1259" t="s">
        <v>18</v>
      </c>
      <c r="N116" s="1259" t="s">
        <v>18</v>
      </c>
      <c r="O116" s="1259" t="s">
        <v>18</v>
      </c>
      <c r="P116" s="1260" t="s">
        <v>18</v>
      </c>
      <c r="Q116" s="1259" t="s">
        <v>18</v>
      </c>
      <c r="R116" s="1259" t="s">
        <v>18</v>
      </c>
      <c r="S116" s="1259" t="s">
        <v>18</v>
      </c>
      <c r="T116" s="1259" t="s">
        <v>18</v>
      </c>
      <c r="U116" s="1259" t="s">
        <v>18</v>
      </c>
      <c r="V116" s="1259" t="s">
        <v>18</v>
      </c>
      <c r="W116" s="1260" t="s">
        <v>18</v>
      </c>
      <c r="X116" s="1261" t="s">
        <v>18</v>
      </c>
      <c r="Y116" s="1260" t="s">
        <v>18</v>
      </c>
      <c r="Z116" s="1260" t="s">
        <v>18</v>
      </c>
      <c r="AA116" s="1260" t="s">
        <v>18</v>
      </c>
      <c r="AB116" s="1260" t="s">
        <v>18</v>
      </c>
      <c r="AC116" s="1260" t="s">
        <v>18</v>
      </c>
      <c r="AD116" s="1260" t="s">
        <v>18</v>
      </c>
      <c r="AE116" s="1260" t="s">
        <v>18</v>
      </c>
      <c r="AF116" s="1260" t="s">
        <v>18</v>
      </c>
      <c r="AG116" s="1259" t="s">
        <v>18</v>
      </c>
      <c r="AH116" s="1260" t="s">
        <v>18</v>
      </c>
      <c r="AI116" s="1260" t="s">
        <v>18</v>
      </c>
      <c r="AJ116" s="1260" t="s">
        <v>18</v>
      </c>
      <c r="AK116" s="1260" t="s">
        <v>18</v>
      </c>
      <c r="AL116" s="1260" t="s">
        <v>18</v>
      </c>
      <c r="AM116" s="1261" t="s">
        <v>18</v>
      </c>
      <c r="AN116" s="1261" t="s">
        <v>18</v>
      </c>
      <c r="AO116" s="1261" t="s">
        <v>18</v>
      </c>
      <c r="AP116" s="1262" t="s">
        <v>18</v>
      </c>
      <c r="AQ116" s="1407" t="s">
        <v>18</v>
      </c>
      <c r="AR116" s="1262" t="s">
        <v>18</v>
      </c>
      <c r="AS116" s="1407" t="s">
        <v>18</v>
      </c>
      <c r="AT116" s="1309" t="s">
        <v>18</v>
      </c>
      <c r="AU116" s="1260" t="s">
        <v>18</v>
      </c>
      <c r="AV116" s="1261" t="s">
        <v>18</v>
      </c>
      <c r="AW116" s="1260" t="s">
        <v>18</v>
      </c>
      <c r="AX116" s="1259" t="s">
        <v>18</v>
      </c>
      <c r="AY116" s="1259" t="s">
        <v>18</v>
      </c>
      <c r="AZ116" s="1259" t="s">
        <v>18</v>
      </c>
      <c r="BA116" s="1259" t="s">
        <v>18</v>
      </c>
      <c r="BB116" s="1259" t="s">
        <v>18</v>
      </c>
      <c r="BC116" s="1259" t="s">
        <v>18</v>
      </c>
      <c r="BD116" s="1259" t="s">
        <v>18</v>
      </c>
      <c r="BE116" s="1259" t="s">
        <v>18</v>
      </c>
      <c r="BF116" s="1260" t="s">
        <v>18</v>
      </c>
      <c r="BG116" s="1259" t="s">
        <v>18</v>
      </c>
      <c r="BH116" s="1259" t="s">
        <v>18</v>
      </c>
      <c r="BI116" s="1259" t="s">
        <v>18</v>
      </c>
      <c r="BJ116" s="1259" t="s">
        <v>18</v>
      </c>
      <c r="BK116" s="1259" t="s">
        <v>18</v>
      </c>
      <c r="BL116" s="1309" t="s">
        <v>18</v>
      </c>
      <c r="BM116" s="1313" t="s">
        <v>18</v>
      </c>
      <c r="BN116" s="1193"/>
      <c r="BO116" s="1193"/>
      <c r="BP116" s="1193"/>
    </row>
    <row r="117" spans="1:68" ht="24.95" customHeight="1">
      <c r="A117" s="1316"/>
      <c r="B117" s="1209"/>
      <c r="C117" s="1317">
        <v>1</v>
      </c>
      <c r="D117" s="1318">
        <v>2</v>
      </c>
      <c r="E117" s="1135">
        <v>3</v>
      </c>
      <c r="F117" s="1136">
        <v>4</v>
      </c>
      <c r="G117" s="1136">
        <v>5</v>
      </c>
      <c r="H117" s="1136">
        <v>6</v>
      </c>
      <c r="I117" s="1136">
        <v>7</v>
      </c>
      <c r="J117" s="1136">
        <v>8</v>
      </c>
      <c r="K117" s="1317">
        <v>9</v>
      </c>
      <c r="L117" s="1318">
        <v>10</v>
      </c>
      <c r="M117" s="1135">
        <v>11</v>
      </c>
      <c r="N117" s="1136">
        <v>12</v>
      </c>
      <c r="O117" s="1136">
        <v>13</v>
      </c>
      <c r="P117" s="1136">
        <v>14</v>
      </c>
      <c r="Q117" s="1136">
        <v>15</v>
      </c>
      <c r="R117" s="1136">
        <v>16</v>
      </c>
      <c r="S117" s="1317">
        <v>17</v>
      </c>
      <c r="T117" s="1318">
        <v>18</v>
      </c>
      <c r="U117" s="1135">
        <v>19</v>
      </c>
      <c r="V117" s="1136">
        <v>20</v>
      </c>
      <c r="W117" s="1136">
        <v>21</v>
      </c>
      <c r="X117" s="1136">
        <v>22</v>
      </c>
      <c r="Y117" s="1136">
        <v>23</v>
      </c>
      <c r="Z117" s="1136">
        <v>24</v>
      </c>
      <c r="AA117" s="1317">
        <v>25</v>
      </c>
      <c r="AB117" s="1318">
        <v>26</v>
      </c>
      <c r="AC117" s="1135">
        <v>27</v>
      </c>
      <c r="AD117" s="1136">
        <v>28</v>
      </c>
      <c r="AE117" s="1136">
        <v>29</v>
      </c>
      <c r="AF117" s="1136">
        <v>30</v>
      </c>
      <c r="AG117" s="1136">
        <v>31</v>
      </c>
      <c r="AH117" s="1136">
        <v>32</v>
      </c>
      <c r="AI117" s="1265">
        <v>33</v>
      </c>
      <c r="AJ117" s="1318">
        <v>34</v>
      </c>
      <c r="AK117" s="1135">
        <v>35</v>
      </c>
      <c r="AL117" s="1136">
        <v>36</v>
      </c>
      <c r="AM117" s="1136">
        <v>37</v>
      </c>
      <c r="AN117" s="1135">
        <v>38</v>
      </c>
      <c r="AO117" s="1136">
        <v>39</v>
      </c>
      <c r="AP117" s="1140">
        <v>40</v>
      </c>
      <c r="AQ117" s="1408">
        <v>41</v>
      </c>
      <c r="AR117" s="1138">
        <v>42</v>
      </c>
      <c r="AS117" s="1156">
        <v>43</v>
      </c>
      <c r="AT117" s="1406">
        <v>44</v>
      </c>
      <c r="AU117" s="1136">
        <v>45</v>
      </c>
      <c r="AV117" s="1136">
        <v>46</v>
      </c>
      <c r="AW117" s="1136">
        <v>47</v>
      </c>
      <c r="AX117" s="1136">
        <v>48</v>
      </c>
      <c r="AY117" s="1320">
        <v>49</v>
      </c>
      <c r="AZ117" s="1135">
        <v>50</v>
      </c>
      <c r="BA117" s="1135">
        <v>51</v>
      </c>
      <c r="BB117" s="1136">
        <v>52</v>
      </c>
      <c r="BC117" s="1136">
        <v>53</v>
      </c>
      <c r="BD117" s="1136">
        <v>54</v>
      </c>
      <c r="BE117" s="1136">
        <v>55</v>
      </c>
      <c r="BF117" s="1136">
        <v>56</v>
      </c>
      <c r="BG117" s="1320">
        <v>57</v>
      </c>
      <c r="BH117" s="1135">
        <v>58</v>
      </c>
      <c r="BI117" s="1135">
        <v>59</v>
      </c>
      <c r="BJ117" s="1136">
        <v>60</v>
      </c>
      <c r="BK117" s="1136">
        <v>61</v>
      </c>
      <c r="BL117" s="1135">
        <v>62</v>
      </c>
      <c r="BM117" s="1139">
        <v>63</v>
      </c>
      <c r="BN117" s="1193"/>
      <c r="BO117" s="1193"/>
      <c r="BP117" s="1193"/>
    </row>
    <row r="118" spans="1:68" ht="30" customHeight="1">
      <c r="A118" s="1321">
        <v>1</v>
      </c>
      <c r="B118" s="1322" t="s">
        <v>12</v>
      </c>
      <c r="C118" s="1323">
        <v>449.4</v>
      </c>
      <c r="D118" s="1323">
        <v>82.7</v>
      </c>
      <c r="E118" s="1323">
        <v>38</v>
      </c>
      <c r="F118" s="1323">
        <v>24.75</v>
      </c>
      <c r="G118" s="1323">
        <v>304.39999999999998</v>
      </c>
      <c r="H118" s="1323">
        <v>87</v>
      </c>
      <c r="I118" s="1323">
        <v>96</v>
      </c>
      <c r="J118" s="1323">
        <v>46</v>
      </c>
      <c r="K118" s="1323">
        <v>1521.5</v>
      </c>
      <c r="L118" s="1323">
        <v>272.5</v>
      </c>
      <c r="M118" s="1323">
        <v>108.33</v>
      </c>
      <c r="N118" s="1323">
        <v>87.19</v>
      </c>
      <c r="O118" s="1323">
        <v>23</v>
      </c>
      <c r="P118" s="1323">
        <v>6.6</v>
      </c>
      <c r="Q118" s="1323">
        <v>1184</v>
      </c>
      <c r="R118" s="1323">
        <v>202.2</v>
      </c>
      <c r="S118" s="1323">
        <v>407.6</v>
      </c>
      <c r="T118" s="1323">
        <v>29.1</v>
      </c>
      <c r="U118" s="1323">
        <v>36.5</v>
      </c>
      <c r="V118" s="1323">
        <v>10</v>
      </c>
      <c r="W118" s="1323">
        <v>449.4</v>
      </c>
      <c r="X118" s="1323">
        <v>82.7</v>
      </c>
      <c r="Y118" s="1323">
        <v>33</v>
      </c>
      <c r="Z118" s="1323">
        <v>32.5</v>
      </c>
      <c r="AA118" s="1323">
        <v>34</v>
      </c>
      <c r="AB118" s="1323">
        <v>37.200000000000003</v>
      </c>
      <c r="AC118" s="1323">
        <v>6</v>
      </c>
      <c r="AD118" s="1323">
        <v>11</v>
      </c>
      <c r="AE118" s="1323">
        <v>0</v>
      </c>
      <c r="AF118" s="1323">
        <v>0</v>
      </c>
      <c r="AG118" s="1323">
        <v>573</v>
      </c>
      <c r="AH118" s="1323">
        <v>34</v>
      </c>
      <c r="AI118" s="1323">
        <v>175.7</v>
      </c>
      <c r="AJ118" s="1323">
        <v>90.86</v>
      </c>
      <c r="AK118" s="1323">
        <v>779.58</v>
      </c>
      <c r="AL118" s="1323">
        <v>74.3</v>
      </c>
      <c r="AM118" s="1323">
        <v>141</v>
      </c>
      <c r="AN118" s="1323">
        <v>72.5</v>
      </c>
      <c r="AO118" s="1325">
        <v>6360.41</v>
      </c>
      <c r="AP118" s="1326">
        <v>1283.0999999999999</v>
      </c>
      <c r="AQ118" s="1323">
        <v>449.4</v>
      </c>
      <c r="AR118" s="1323">
        <v>82.7</v>
      </c>
      <c r="AS118" s="1409"/>
      <c r="AT118" s="1329"/>
      <c r="AU118" s="1416"/>
      <c r="AV118" s="1416"/>
      <c r="AW118" s="1416"/>
      <c r="AX118" s="1416"/>
      <c r="AY118" s="1417"/>
      <c r="AZ118" s="1416"/>
      <c r="BA118" s="1416"/>
      <c r="BB118" s="1416"/>
      <c r="BC118" s="1416"/>
      <c r="BD118" s="1416"/>
      <c r="BE118" s="1416"/>
      <c r="BF118" s="1416"/>
      <c r="BG118" s="1417"/>
      <c r="BH118" s="1416"/>
      <c r="BI118" s="1416"/>
      <c r="BJ118" s="1416"/>
      <c r="BK118" s="1416"/>
      <c r="BL118" s="1418"/>
      <c r="BM118" s="1412"/>
    </row>
    <row r="119" spans="1:68" ht="30" customHeight="1">
      <c r="A119" s="1321"/>
      <c r="B119" s="1332" t="s">
        <v>9</v>
      </c>
      <c r="C119" s="1333"/>
      <c r="D119" s="1333"/>
      <c r="E119" s="1333"/>
      <c r="F119" s="1333"/>
      <c r="G119" s="1333"/>
      <c r="H119" s="1333"/>
      <c r="I119" s="1333"/>
      <c r="J119" s="1333"/>
      <c r="K119" s="1333"/>
      <c r="L119" s="1333"/>
      <c r="M119" s="1333"/>
      <c r="N119" s="1333"/>
      <c r="O119" s="1333"/>
      <c r="P119" s="1333"/>
      <c r="Q119" s="1333"/>
      <c r="R119" s="1333"/>
      <c r="S119" s="1333"/>
      <c r="T119" s="1333"/>
      <c r="U119" s="1333"/>
      <c r="V119" s="1333"/>
      <c r="W119" s="1333"/>
      <c r="X119" s="1333"/>
      <c r="Y119" s="1333"/>
      <c r="Z119" s="1333"/>
      <c r="AA119" s="1333"/>
      <c r="AB119" s="1333"/>
      <c r="AC119" s="1333"/>
      <c r="AD119" s="1333"/>
      <c r="AE119" s="1333"/>
      <c r="AF119" s="1333"/>
      <c r="AG119" s="1333"/>
      <c r="AH119" s="1333"/>
      <c r="AI119" s="1333"/>
      <c r="AJ119" s="1333"/>
      <c r="AK119" s="1333"/>
      <c r="AL119" s="1333"/>
      <c r="AM119" s="1333"/>
      <c r="AN119" s="1333"/>
      <c r="AO119" s="1335"/>
      <c r="AP119" s="1336"/>
      <c r="AQ119" s="1333"/>
      <c r="AR119" s="1333"/>
      <c r="AS119" s="1410"/>
      <c r="AT119" s="1339"/>
      <c r="AU119" s="1419"/>
      <c r="AV119" s="1419"/>
      <c r="AW119" s="1419"/>
      <c r="AX119" s="1419"/>
      <c r="AY119" s="1419"/>
      <c r="AZ119" s="1419"/>
      <c r="BA119" s="1419"/>
      <c r="BB119" s="1419"/>
      <c r="BC119" s="1419"/>
      <c r="BD119" s="1419"/>
      <c r="BE119" s="1419"/>
      <c r="BF119" s="1419"/>
      <c r="BG119" s="1419"/>
      <c r="BH119" s="1419"/>
      <c r="BI119" s="1419"/>
      <c r="BJ119" s="1419"/>
      <c r="BK119" s="1419"/>
      <c r="BL119" s="1420"/>
      <c r="BM119" s="1413"/>
    </row>
    <row r="120" spans="1:68" ht="24.95" customHeight="1">
      <c r="A120" s="1321"/>
      <c r="B120" s="1342" t="s">
        <v>83</v>
      </c>
      <c r="C120" s="1258"/>
      <c r="D120" s="1258"/>
      <c r="E120" s="1258"/>
      <c r="F120" s="1258"/>
      <c r="G120" s="1258"/>
      <c r="H120" s="1258"/>
      <c r="I120" s="1258"/>
      <c r="J120" s="1258"/>
      <c r="K120" s="1258"/>
      <c r="L120" s="1258"/>
      <c r="M120" s="1258"/>
      <c r="N120" s="1258"/>
      <c r="O120" s="1258"/>
      <c r="P120" s="1258"/>
      <c r="Q120" s="1258"/>
      <c r="R120" s="1258"/>
      <c r="S120" s="1258"/>
      <c r="T120" s="1258"/>
      <c r="U120" s="1258"/>
      <c r="V120" s="1258"/>
      <c r="W120" s="1258"/>
      <c r="X120" s="1258"/>
      <c r="Y120" s="1258"/>
      <c r="Z120" s="1258"/>
      <c r="AA120" s="1258"/>
      <c r="AB120" s="1258"/>
      <c r="AC120" s="1258"/>
      <c r="AD120" s="1258"/>
      <c r="AE120" s="1258"/>
      <c r="AF120" s="1258"/>
      <c r="AG120" s="1258"/>
      <c r="AH120" s="1258"/>
      <c r="AI120" s="1258"/>
      <c r="AJ120" s="1258"/>
      <c r="AK120" s="1258"/>
      <c r="AL120" s="1258"/>
      <c r="AM120" s="1258"/>
      <c r="AN120" s="1258"/>
      <c r="AO120" s="1335"/>
      <c r="AP120" s="1336"/>
      <c r="AQ120" s="1258"/>
      <c r="AR120" s="1258"/>
      <c r="AS120" s="1410"/>
      <c r="AT120" s="1339"/>
      <c r="AU120" s="1419"/>
      <c r="AV120" s="1419"/>
      <c r="AW120" s="1419"/>
      <c r="AX120" s="1419"/>
      <c r="AY120" s="1419"/>
      <c r="AZ120" s="1419"/>
      <c r="BA120" s="1419"/>
      <c r="BB120" s="1419"/>
      <c r="BC120" s="1419"/>
      <c r="BD120" s="1419"/>
      <c r="BE120" s="1419"/>
      <c r="BF120" s="1419"/>
      <c r="BG120" s="1419"/>
      <c r="BH120" s="1419"/>
      <c r="BI120" s="1419"/>
      <c r="BJ120" s="1419"/>
      <c r="BK120" s="1419"/>
      <c r="BL120" s="1420"/>
      <c r="BM120" s="1413"/>
    </row>
    <row r="121" spans="1:68" ht="21.95" customHeight="1">
      <c r="A121" s="1345">
        <v>2</v>
      </c>
      <c r="B121" s="1346" t="s">
        <v>84</v>
      </c>
      <c r="C121" s="1347">
        <v>0</v>
      </c>
      <c r="D121" s="1347">
        <v>0</v>
      </c>
      <c r="E121" s="1347">
        <v>0</v>
      </c>
      <c r="F121" s="1347">
        <v>0</v>
      </c>
      <c r="G121" s="1347">
        <v>0</v>
      </c>
      <c r="H121" s="1347">
        <v>0</v>
      </c>
      <c r="I121" s="1347">
        <v>0</v>
      </c>
      <c r="J121" s="1347">
        <v>0</v>
      </c>
      <c r="K121" s="1347">
        <v>0</v>
      </c>
      <c r="L121" s="1347">
        <v>0</v>
      </c>
      <c r="M121" s="1347">
        <v>0</v>
      </c>
      <c r="N121" s="1347">
        <v>0</v>
      </c>
      <c r="O121" s="1347">
        <v>0</v>
      </c>
      <c r="P121" s="1347">
        <v>0</v>
      </c>
      <c r="Q121" s="1347">
        <v>0</v>
      </c>
      <c r="R121" s="1347">
        <v>0</v>
      </c>
      <c r="S121" s="1347">
        <v>0</v>
      </c>
      <c r="T121" s="1347">
        <v>0</v>
      </c>
      <c r="U121" s="1347">
        <v>0</v>
      </c>
      <c r="V121" s="1347">
        <v>0</v>
      </c>
      <c r="W121" s="1347">
        <v>0</v>
      </c>
      <c r="X121" s="1347">
        <v>0</v>
      </c>
      <c r="Y121" s="1347">
        <v>0</v>
      </c>
      <c r="Z121" s="1347">
        <v>0</v>
      </c>
      <c r="AA121" s="1347">
        <v>0</v>
      </c>
      <c r="AB121" s="1347">
        <v>0</v>
      </c>
      <c r="AC121" s="1347">
        <v>0</v>
      </c>
      <c r="AD121" s="1347">
        <v>0</v>
      </c>
      <c r="AE121" s="1347">
        <v>0</v>
      </c>
      <c r="AF121" s="1347">
        <v>0</v>
      </c>
      <c r="AG121" s="1347">
        <v>0</v>
      </c>
      <c r="AH121" s="1347">
        <v>0</v>
      </c>
      <c r="AI121" s="1347">
        <v>0</v>
      </c>
      <c r="AJ121" s="1347">
        <v>0</v>
      </c>
      <c r="AK121" s="1347">
        <v>0</v>
      </c>
      <c r="AL121" s="1347">
        <v>0</v>
      </c>
      <c r="AM121" s="1347">
        <v>98</v>
      </c>
      <c r="AN121" s="1347">
        <v>0</v>
      </c>
      <c r="AO121" s="1348">
        <v>1020.1</v>
      </c>
      <c r="AP121" s="1349">
        <v>222.9</v>
      </c>
      <c r="AQ121" s="1347">
        <v>0</v>
      </c>
      <c r="AR121" s="1347">
        <v>0</v>
      </c>
      <c r="AS121" s="1410"/>
      <c r="AT121" s="1352"/>
      <c r="AU121" s="1419"/>
      <c r="AV121" s="1419"/>
      <c r="AW121" s="1419"/>
      <c r="AX121" s="1419"/>
      <c r="AY121" s="1419"/>
      <c r="AZ121" s="1419"/>
      <c r="BA121" s="1419"/>
      <c r="BB121" s="1419"/>
      <c r="BC121" s="1419"/>
      <c r="BD121" s="1419"/>
      <c r="BE121" s="1419"/>
      <c r="BF121" s="1419"/>
      <c r="BG121" s="1419"/>
      <c r="BH121" s="1419"/>
      <c r="BI121" s="1419"/>
      <c r="BJ121" s="1419"/>
      <c r="BK121" s="1419"/>
      <c r="BL121" s="1421"/>
      <c r="BM121" s="1413"/>
    </row>
    <row r="122" spans="1:68" ht="24.95" customHeight="1">
      <c r="A122" s="1345">
        <v>3</v>
      </c>
      <c r="B122" s="1342" t="s">
        <v>85</v>
      </c>
      <c r="C122" s="1347">
        <v>489.7</v>
      </c>
      <c r="D122" s="1347">
        <v>52.8</v>
      </c>
      <c r="E122" s="1347">
        <v>67.5</v>
      </c>
      <c r="F122" s="1347">
        <v>42.835000000000001</v>
      </c>
      <c r="G122" s="1347">
        <v>376.1</v>
      </c>
      <c r="H122" s="1347">
        <v>572.37</v>
      </c>
      <c r="I122" s="1347">
        <v>546</v>
      </c>
      <c r="J122" s="1347">
        <v>222.9</v>
      </c>
      <c r="K122" s="1347">
        <v>175</v>
      </c>
      <c r="L122" s="1347">
        <v>27.1</v>
      </c>
      <c r="M122" s="1347">
        <v>283.44</v>
      </c>
      <c r="N122" s="1347">
        <v>147.80000000000001</v>
      </c>
      <c r="O122" s="1347">
        <v>189</v>
      </c>
      <c r="P122" s="1347">
        <v>9</v>
      </c>
      <c r="Q122" s="1347">
        <v>892</v>
      </c>
      <c r="R122" s="1347">
        <v>279.16000000000003</v>
      </c>
      <c r="S122" s="1347">
        <v>448</v>
      </c>
      <c r="T122" s="1347">
        <v>72.55</v>
      </c>
      <c r="U122" s="1347">
        <v>15.5</v>
      </c>
      <c r="V122" s="1347">
        <v>81.400000000000006</v>
      </c>
      <c r="W122" s="1347">
        <v>489.7</v>
      </c>
      <c r="X122" s="1347">
        <v>52.8</v>
      </c>
      <c r="Y122" s="1347">
        <v>180</v>
      </c>
      <c r="Z122" s="1347">
        <v>149.79</v>
      </c>
      <c r="AA122" s="1347">
        <v>140.83000000000001</v>
      </c>
      <c r="AB122" s="1347">
        <v>149.32</v>
      </c>
      <c r="AC122" s="1347">
        <v>77</v>
      </c>
      <c r="AD122" s="1347">
        <v>4</v>
      </c>
      <c r="AE122" s="1347">
        <v>0</v>
      </c>
      <c r="AF122" s="1347">
        <v>15.16</v>
      </c>
      <c r="AG122" s="1347">
        <v>332.5</v>
      </c>
      <c r="AH122" s="1347">
        <v>38.5</v>
      </c>
      <c r="AI122" s="1347">
        <v>322</v>
      </c>
      <c r="AJ122" s="1347">
        <v>220.08</v>
      </c>
      <c r="AK122" s="1347">
        <v>408.94</v>
      </c>
      <c r="AL122" s="1347">
        <v>239.673</v>
      </c>
      <c r="AM122" s="1347">
        <v>319</v>
      </c>
      <c r="AN122" s="1347">
        <v>223.41666666666663</v>
      </c>
      <c r="AO122" s="1348">
        <v>5752.21</v>
      </c>
      <c r="AP122" s="1349">
        <v>2600.6546666666668</v>
      </c>
      <c r="AQ122" s="1347">
        <v>489.7</v>
      </c>
      <c r="AR122" s="1351">
        <v>52.8</v>
      </c>
      <c r="AS122" s="1355">
        <v>0</v>
      </c>
      <c r="AT122" s="1355">
        <v>0</v>
      </c>
      <c r="AU122" s="1355">
        <v>0</v>
      </c>
      <c r="AV122" s="1355">
        <v>15</v>
      </c>
      <c r="AW122" s="1355">
        <v>51</v>
      </c>
      <c r="AX122" s="1355">
        <v>0</v>
      </c>
      <c r="AY122" s="1355">
        <v>0</v>
      </c>
      <c r="AZ122" s="1355">
        <v>44</v>
      </c>
      <c r="BA122" s="1355">
        <v>0</v>
      </c>
      <c r="BB122" s="1355">
        <v>0</v>
      </c>
      <c r="BC122" s="1355">
        <v>0</v>
      </c>
      <c r="BD122" s="1355">
        <v>0</v>
      </c>
      <c r="BE122" s="1355">
        <v>14.5</v>
      </c>
      <c r="BF122" s="1355">
        <v>0</v>
      </c>
      <c r="BG122" s="1355">
        <v>0</v>
      </c>
      <c r="BH122" s="1355">
        <v>0</v>
      </c>
      <c r="BI122" s="1355">
        <v>31</v>
      </c>
      <c r="BJ122" s="1355">
        <v>24</v>
      </c>
      <c r="BK122" s="1355">
        <v>0</v>
      </c>
      <c r="BL122" s="1422">
        <v>179.5</v>
      </c>
      <c r="BM122" s="1357">
        <v>0</v>
      </c>
    </row>
    <row r="123" spans="1:68" s="1391" customFormat="1" ht="30" customHeight="1">
      <c r="A123" s="1321"/>
      <c r="B123" s="1342" t="s">
        <v>2</v>
      </c>
      <c r="C123" s="1348">
        <v>489.7</v>
      </c>
      <c r="D123" s="1348">
        <v>52.8</v>
      </c>
      <c r="E123" s="1348">
        <v>67.5</v>
      </c>
      <c r="F123" s="1348">
        <v>42.835000000000001</v>
      </c>
      <c r="G123" s="1348">
        <v>376.1</v>
      </c>
      <c r="H123" s="1348">
        <v>572.37</v>
      </c>
      <c r="I123" s="1348">
        <v>546</v>
      </c>
      <c r="J123" s="1348">
        <v>222.9</v>
      </c>
      <c r="K123" s="1348">
        <v>175</v>
      </c>
      <c r="L123" s="1348">
        <v>27.1</v>
      </c>
      <c r="M123" s="1348">
        <v>283.44</v>
      </c>
      <c r="N123" s="1348">
        <v>147.80000000000001</v>
      </c>
      <c r="O123" s="1348">
        <v>189</v>
      </c>
      <c r="P123" s="1348">
        <v>9</v>
      </c>
      <c r="Q123" s="1348">
        <v>892</v>
      </c>
      <c r="R123" s="1348">
        <v>279.16000000000003</v>
      </c>
      <c r="S123" s="1348">
        <v>448</v>
      </c>
      <c r="T123" s="1348">
        <v>72.55</v>
      </c>
      <c r="U123" s="1348">
        <v>15.5</v>
      </c>
      <c r="V123" s="1348">
        <v>81.400000000000006</v>
      </c>
      <c r="W123" s="1348">
        <v>489.7</v>
      </c>
      <c r="X123" s="1348">
        <v>52.8</v>
      </c>
      <c r="Y123" s="1348">
        <v>180</v>
      </c>
      <c r="Z123" s="1348">
        <v>149.79</v>
      </c>
      <c r="AA123" s="1348">
        <v>140.83000000000001</v>
      </c>
      <c r="AB123" s="1348">
        <v>149.32</v>
      </c>
      <c r="AC123" s="1348">
        <v>77</v>
      </c>
      <c r="AD123" s="1348">
        <v>4</v>
      </c>
      <c r="AE123" s="1348">
        <v>0</v>
      </c>
      <c r="AF123" s="1348">
        <v>15.16</v>
      </c>
      <c r="AG123" s="1348">
        <v>332.5</v>
      </c>
      <c r="AH123" s="1348">
        <v>38.5</v>
      </c>
      <c r="AI123" s="1348">
        <v>322</v>
      </c>
      <c r="AJ123" s="1348">
        <v>220.08</v>
      </c>
      <c r="AK123" s="1348">
        <v>408.94</v>
      </c>
      <c r="AL123" s="1348">
        <v>239.673</v>
      </c>
      <c r="AM123" s="1348">
        <v>417</v>
      </c>
      <c r="AN123" s="1348">
        <v>223.41666666666663</v>
      </c>
      <c r="AO123" s="1348">
        <v>5850.21</v>
      </c>
      <c r="AP123" s="1349">
        <v>2600.6546666666668</v>
      </c>
      <c r="AQ123" s="1348">
        <v>489.7</v>
      </c>
      <c r="AR123" s="1349">
        <v>52.8</v>
      </c>
      <c r="AS123" s="1352"/>
      <c r="AT123" s="1352"/>
      <c r="AU123" s="1352"/>
      <c r="AV123" s="1352"/>
      <c r="AW123" s="1352"/>
      <c r="AX123" s="1352"/>
      <c r="AY123" s="1352"/>
      <c r="AZ123" s="1352"/>
      <c r="BA123" s="1352"/>
      <c r="BB123" s="1352"/>
      <c r="BC123" s="1352"/>
      <c r="BD123" s="1352"/>
      <c r="BE123" s="1352"/>
      <c r="BF123" s="1352"/>
      <c r="BG123" s="1352"/>
      <c r="BH123" s="1352"/>
      <c r="BI123" s="1352"/>
      <c r="BJ123" s="1352"/>
      <c r="BK123" s="1352"/>
      <c r="BL123" s="1421"/>
      <c r="BM123" s="1354"/>
      <c r="BN123" s="1392"/>
      <c r="BO123" s="1392"/>
      <c r="BP123" s="1392"/>
    </row>
    <row r="124" spans="1:68" ht="30" customHeight="1">
      <c r="A124" s="1321"/>
      <c r="B124" s="1332" t="s">
        <v>10</v>
      </c>
      <c r="C124" s="1333"/>
      <c r="D124" s="1333"/>
      <c r="E124" s="1333"/>
      <c r="F124" s="1333"/>
      <c r="G124" s="1333"/>
      <c r="H124" s="1333"/>
      <c r="I124" s="1333"/>
      <c r="J124" s="1333"/>
      <c r="K124" s="1333"/>
      <c r="L124" s="1333"/>
      <c r="M124" s="1333"/>
      <c r="N124" s="1333"/>
      <c r="O124" s="1333"/>
      <c r="P124" s="1333"/>
      <c r="Q124" s="1333"/>
      <c r="R124" s="1333"/>
      <c r="S124" s="1333"/>
      <c r="T124" s="1333"/>
      <c r="U124" s="1333"/>
      <c r="V124" s="1333"/>
      <c r="W124" s="1333"/>
      <c r="X124" s="1333"/>
      <c r="Y124" s="1333"/>
      <c r="Z124" s="1333"/>
      <c r="AA124" s="1333"/>
      <c r="AB124" s="1333"/>
      <c r="AC124" s="1333"/>
      <c r="AD124" s="1333"/>
      <c r="AE124" s="1333"/>
      <c r="AF124" s="1333"/>
      <c r="AG124" s="1333"/>
      <c r="AH124" s="1333"/>
      <c r="AI124" s="1333"/>
      <c r="AJ124" s="1333"/>
      <c r="AK124" s="1333"/>
      <c r="AL124" s="1333"/>
      <c r="AM124" s="1333"/>
      <c r="AN124" s="1333"/>
      <c r="AO124" s="1335"/>
      <c r="AP124" s="1336"/>
      <c r="AQ124" s="1333"/>
      <c r="AR124" s="1338"/>
      <c r="AS124" s="1352"/>
      <c r="AT124" s="1352"/>
      <c r="AU124" s="1352"/>
      <c r="AV124" s="1352"/>
      <c r="AW124" s="1352"/>
      <c r="AX124" s="1352"/>
      <c r="AY124" s="1352"/>
      <c r="AZ124" s="1352"/>
      <c r="BA124" s="1352"/>
      <c r="BB124" s="1352"/>
      <c r="BC124" s="1352"/>
      <c r="BD124" s="1352"/>
      <c r="BE124" s="1352"/>
      <c r="BF124" s="1352"/>
      <c r="BG124" s="1352"/>
      <c r="BH124" s="1352"/>
      <c r="BI124" s="1352"/>
      <c r="BJ124" s="1352"/>
      <c r="BK124" s="1352"/>
      <c r="BL124" s="1420"/>
      <c r="BM124" s="1354"/>
    </row>
    <row r="125" spans="1:68" ht="24.95" customHeight="1">
      <c r="A125" s="1321"/>
      <c r="B125" s="1342" t="s">
        <v>83</v>
      </c>
      <c r="C125" s="1333"/>
      <c r="D125" s="1333"/>
      <c r="E125" s="1333"/>
      <c r="F125" s="1333"/>
      <c r="G125" s="1333"/>
      <c r="H125" s="1333"/>
      <c r="I125" s="1333"/>
      <c r="J125" s="1333"/>
      <c r="K125" s="1333"/>
      <c r="L125" s="1333"/>
      <c r="M125" s="1333"/>
      <c r="N125" s="1333"/>
      <c r="O125" s="1333"/>
      <c r="P125" s="1333"/>
      <c r="Q125" s="1333"/>
      <c r="R125" s="1333"/>
      <c r="S125" s="1333"/>
      <c r="T125" s="1333"/>
      <c r="U125" s="1333"/>
      <c r="V125" s="1333"/>
      <c r="W125" s="1333"/>
      <c r="X125" s="1333"/>
      <c r="Y125" s="1333"/>
      <c r="Z125" s="1333"/>
      <c r="AA125" s="1333"/>
      <c r="AB125" s="1333"/>
      <c r="AC125" s="1333"/>
      <c r="AD125" s="1333"/>
      <c r="AE125" s="1333"/>
      <c r="AF125" s="1333"/>
      <c r="AG125" s="1333"/>
      <c r="AH125" s="1333"/>
      <c r="AI125" s="1333"/>
      <c r="AJ125" s="1333"/>
      <c r="AK125" s="1333"/>
      <c r="AL125" s="1333"/>
      <c r="AM125" s="1333"/>
      <c r="AN125" s="1333"/>
      <c r="AO125" s="1335"/>
      <c r="AP125" s="1336"/>
      <c r="AQ125" s="1333"/>
      <c r="AR125" s="1338"/>
      <c r="AS125" s="1352"/>
      <c r="AT125" s="1352"/>
      <c r="AU125" s="1352"/>
      <c r="AV125" s="1352"/>
      <c r="AW125" s="1352"/>
      <c r="AX125" s="1352"/>
      <c r="AY125" s="1352"/>
      <c r="AZ125" s="1352"/>
      <c r="BA125" s="1352"/>
      <c r="BB125" s="1352"/>
      <c r="BC125" s="1352"/>
      <c r="BD125" s="1352"/>
      <c r="BE125" s="1352"/>
      <c r="BF125" s="1352"/>
      <c r="BG125" s="1352"/>
      <c r="BH125" s="1352"/>
      <c r="BI125" s="1352"/>
      <c r="BJ125" s="1352"/>
      <c r="BK125" s="1352"/>
      <c r="BL125" s="1420"/>
      <c r="BM125" s="1354"/>
    </row>
    <row r="126" spans="1:68" ht="21.95" customHeight="1">
      <c r="A126" s="1345">
        <v>4</v>
      </c>
      <c r="B126" s="1346" t="s">
        <v>86</v>
      </c>
      <c r="C126" s="1347">
        <v>173.5</v>
      </c>
      <c r="D126" s="1347">
        <v>38</v>
      </c>
      <c r="E126" s="1347">
        <v>0</v>
      </c>
      <c r="F126" s="1347">
        <v>0</v>
      </c>
      <c r="G126" s="1347">
        <v>173.1</v>
      </c>
      <c r="H126" s="1347">
        <v>17</v>
      </c>
      <c r="I126" s="1347">
        <v>0</v>
      </c>
      <c r="J126" s="1347">
        <v>0</v>
      </c>
      <c r="K126" s="1347">
        <v>113</v>
      </c>
      <c r="L126" s="1347">
        <v>0</v>
      </c>
      <c r="M126" s="1347">
        <v>0</v>
      </c>
      <c r="N126" s="1347">
        <v>0</v>
      </c>
      <c r="O126" s="1347">
        <v>0</v>
      </c>
      <c r="P126" s="1347">
        <v>0</v>
      </c>
      <c r="Q126" s="1347">
        <v>184</v>
      </c>
      <c r="R126" s="1347">
        <v>2</v>
      </c>
      <c r="S126" s="1347">
        <v>0</v>
      </c>
      <c r="T126" s="1347">
        <v>0</v>
      </c>
      <c r="U126" s="1347">
        <v>62</v>
      </c>
      <c r="V126" s="1347">
        <v>0</v>
      </c>
      <c r="W126" s="1347">
        <v>173.5</v>
      </c>
      <c r="X126" s="1347">
        <v>38</v>
      </c>
      <c r="Y126" s="1347">
        <v>0</v>
      </c>
      <c r="Z126" s="1347">
        <v>0</v>
      </c>
      <c r="AA126" s="1347">
        <v>0</v>
      </c>
      <c r="AB126" s="1347">
        <v>0</v>
      </c>
      <c r="AC126" s="1347">
        <v>0</v>
      </c>
      <c r="AD126" s="1347">
        <v>0</v>
      </c>
      <c r="AE126" s="1347">
        <v>0</v>
      </c>
      <c r="AF126" s="1347">
        <v>0</v>
      </c>
      <c r="AG126" s="1347">
        <v>0</v>
      </c>
      <c r="AH126" s="1347">
        <v>0</v>
      </c>
      <c r="AI126" s="1347">
        <v>0</v>
      </c>
      <c r="AJ126" s="1347">
        <v>0</v>
      </c>
      <c r="AK126" s="1347">
        <v>312</v>
      </c>
      <c r="AL126" s="1347">
        <v>0</v>
      </c>
      <c r="AM126" s="1347">
        <v>137</v>
      </c>
      <c r="AN126" s="1347">
        <v>3</v>
      </c>
      <c r="AO126" s="1348">
        <v>1328.1</v>
      </c>
      <c r="AP126" s="1349">
        <v>98</v>
      </c>
      <c r="AQ126" s="1347">
        <v>173.5</v>
      </c>
      <c r="AR126" s="1351">
        <v>38</v>
      </c>
      <c r="AS126" s="1355">
        <v>2</v>
      </c>
      <c r="AT126" s="1355">
        <v>0</v>
      </c>
      <c r="AU126" s="1355">
        <v>4</v>
      </c>
      <c r="AV126" s="1355">
        <v>0</v>
      </c>
      <c r="AW126" s="1355">
        <v>5</v>
      </c>
      <c r="AX126" s="1355">
        <v>0</v>
      </c>
      <c r="AY126" s="1355">
        <v>0</v>
      </c>
      <c r="AZ126" s="1355">
        <v>4</v>
      </c>
      <c r="BA126" s="1355">
        <v>0</v>
      </c>
      <c r="BB126" s="1355">
        <v>0</v>
      </c>
      <c r="BC126" s="1355">
        <v>2</v>
      </c>
      <c r="BD126" s="1355">
        <v>0</v>
      </c>
      <c r="BE126" s="1355">
        <v>0</v>
      </c>
      <c r="BF126" s="1355">
        <v>0</v>
      </c>
      <c r="BG126" s="1355">
        <v>0</v>
      </c>
      <c r="BH126" s="1355">
        <v>0</v>
      </c>
      <c r="BI126" s="1355">
        <v>0</v>
      </c>
      <c r="BJ126" s="1355">
        <v>8</v>
      </c>
      <c r="BK126" s="1355">
        <v>4</v>
      </c>
      <c r="BL126" s="1422">
        <v>29</v>
      </c>
      <c r="BM126" s="1357">
        <v>2</v>
      </c>
    </row>
    <row r="127" spans="1:68" ht="21.95" customHeight="1">
      <c r="A127" s="1345">
        <v>5</v>
      </c>
      <c r="B127" s="1346" t="s">
        <v>87</v>
      </c>
      <c r="C127" s="1347">
        <v>123.2</v>
      </c>
      <c r="D127" s="1347">
        <v>0</v>
      </c>
      <c r="E127" s="1347">
        <v>0</v>
      </c>
      <c r="F127" s="1347">
        <v>0</v>
      </c>
      <c r="G127" s="1347">
        <v>24.5</v>
      </c>
      <c r="H127" s="1347">
        <v>0</v>
      </c>
      <c r="I127" s="1347">
        <v>0</v>
      </c>
      <c r="J127" s="1347">
        <v>0</v>
      </c>
      <c r="K127" s="1347">
        <v>142</v>
      </c>
      <c r="L127" s="1347">
        <v>0</v>
      </c>
      <c r="M127" s="1347">
        <v>0</v>
      </c>
      <c r="N127" s="1347">
        <v>0</v>
      </c>
      <c r="O127" s="1347">
        <v>0</v>
      </c>
      <c r="P127" s="1347">
        <v>0</v>
      </c>
      <c r="Q127" s="1347">
        <v>160</v>
      </c>
      <c r="R127" s="1347">
        <v>1</v>
      </c>
      <c r="S127" s="1347">
        <v>0</v>
      </c>
      <c r="T127" s="1347">
        <v>0</v>
      </c>
      <c r="U127" s="1347">
        <v>5</v>
      </c>
      <c r="V127" s="1347">
        <v>0</v>
      </c>
      <c r="W127" s="1347">
        <v>123.2</v>
      </c>
      <c r="X127" s="1347">
        <v>0</v>
      </c>
      <c r="Y127" s="1347">
        <v>0</v>
      </c>
      <c r="Z127" s="1347">
        <v>0</v>
      </c>
      <c r="AA127" s="1347">
        <v>0</v>
      </c>
      <c r="AB127" s="1347">
        <v>0</v>
      </c>
      <c r="AC127" s="1347">
        <v>0</v>
      </c>
      <c r="AD127" s="1347">
        <v>0</v>
      </c>
      <c r="AE127" s="1347">
        <v>0</v>
      </c>
      <c r="AF127" s="1347">
        <v>0</v>
      </c>
      <c r="AG127" s="1347">
        <v>0</v>
      </c>
      <c r="AH127" s="1347">
        <v>0</v>
      </c>
      <c r="AI127" s="1347">
        <v>0</v>
      </c>
      <c r="AJ127" s="1347">
        <v>0</v>
      </c>
      <c r="AK127" s="1347">
        <v>378</v>
      </c>
      <c r="AL127" s="1347">
        <v>7.2</v>
      </c>
      <c r="AM127" s="1347">
        <v>73</v>
      </c>
      <c r="AN127" s="1347">
        <v>0</v>
      </c>
      <c r="AO127" s="1348">
        <v>1028.9000000000001</v>
      </c>
      <c r="AP127" s="1349">
        <v>8.1999999999999993</v>
      </c>
      <c r="AQ127" s="1347">
        <v>123.2</v>
      </c>
      <c r="AR127" s="1351">
        <v>0</v>
      </c>
      <c r="AS127" s="1355">
        <v>3</v>
      </c>
      <c r="AT127" s="1355">
        <v>0</v>
      </c>
      <c r="AU127" s="1355">
        <v>3</v>
      </c>
      <c r="AV127" s="1355">
        <v>0</v>
      </c>
      <c r="AW127" s="1355">
        <v>7</v>
      </c>
      <c r="AX127" s="1355">
        <v>0</v>
      </c>
      <c r="AY127" s="1355">
        <v>0</v>
      </c>
      <c r="AZ127" s="1355">
        <v>8</v>
      </c>
      <c r="BA127" s="1355">
        <v>0</v>
      </c>
      <c r="BB127" s="1355">
        <v>0</v>
      </c>
      <c r="BC127" s="1355">
        <v>3</v>
      </c>
      <c r="BD127" s="1355">
        <v>0</v>
      </c>
      <c r="BE127" s="1355">
        <v>0</v>
      </c>
      <c r="BF127" s="1355">
        <v>0</v>
      </c>
      <c r="BG127" s="1355">
        <v>0</v>
      </c>
      <c r="BH127" s="1355">
        <v>0</v>
      </c>
      <c r="BI127" s="1355">
        <v>0</v>
      </c>
      <c r="BJ127" s="1355">
        <v>17</v>
      </c>
      <c r="BK127" s="1355">
        <v>2</v>
      </c>
      <c r="BL127" s="1422">
        <v>43</v>
      </c>
      <c r="BM127" s="1357">
        <v>3</v>
      </c>
    </row>
    <row r="128" spans="1:68" ht="24.95" customHeight="1">
      <c r="A128" s="1345">
        <v>6</v>
      </c>
      <c r="B128" s="1342" t="s">
        <v>85</v>
      </c>
      <c r="C128" s="1347">
        <v>0</v>
      </c>
      <c r="D128" s="1347">
        <v>109.7</v>
      </c>
      <c r="E128" s="1347">
        <v>0</v>
      </c>
      <c r="F128" s="1347">
        <v>0</v>
      </c>
      <c r="G128" s="1347">
        <v>76.5</v>
      </c>
      <c r="H128" s="1347">
        <v>90.5</v>
      </c>
      <c r="I128" s="1347">
        <v>0</v>
      </c>
      <c r="J128" s="1347">
        <v>0</v>
      </c>
      <c r="K128" s="1347">
        <v>93</v>
      </c>
      <c r="L128" s="1347">
        <v>0</v>
      </c>
      <c r="M128" s="1347">
        <v>0</v>
      </c>
      <c r="N128" s="1347">
        <v>0</v>
      </c>
      <c r="O128" s="1347">
        <v>72</v>
      </c>
      <c r="P128" s="1347">
        <v>8</v>
      </c>
      <c r="Q128" s="1347">
        <v>19</v>
      </c>
      <c r="R128" s="1347">
        <v>410.18</v>
      </c>
      <c r="S128" s="1347">
        <v>0</v>
      </c>
      <c r="T128" s="1347">
        <v>0</v>
      </c>
      <c r="U128" s="1347">
        <v>0</v>
      </c>
      <c r="V128" s="1347">
        <v>0</v>
      </c>
      <c r="W128" s="1347">
        <v>0</v>
      </c>
      <c r="X128" s="1347">
        <v>109.7</v>
      </c>
      <c r="Y128" s="1347">
        <v>0</v>
      </c>
      <c r="Z128" s="1347">
        <v>0</v>
      </c>
      <c r="AA128" s="1347">
        <v>29</v>
      </c>
      <c r="AB128" s="1347">
        <v>0</v>
      </c>
      <c r="AC128" s="1347">
        <v>0</v>
      </c>
      <c r="AD128" s="1347">
        <v>0</v>
      </c>
      <c r="AE128" s="1347">
        <v>0</v>
      </c>
      <c r="AF128" s="1347">
        <v>0</v>
      </c>
      <c r="AG128" s="1347">
        <v>0</v>
      </c>
      <c r="AH128" s="1347">
        <v>0</v>
      </c>
      <c r="AI128" s="1347">
        <v>11.5</v>
      </c>
      <c r="AJ128" s="1347">
        <v>19.5</v>
      </c>
      <c r="AK128" s="1347">
        <v>68.06</v>
      </c>
      <c r="AL128" s="1347">
        <v>34.94</v>
      </c>
      <c r="AM128" s="1347">
        <v>0</v>
      </c>
      <c r="AN128" s="1347">
        <v>48.333333333333329</v>
      </c>
      <c r="AO128" s="1348">
        <v>369.06</v>
      </c>
      <c r="AP128" s="1349">
        <v>830.85333333333335</v>
      </c>
      <c r="AQ128" s="1347">
        <v>0</v>
      </c>
      <c r="AR128" s="1351">
        <v>109.7</v>
      </c>
      <c r="AS128" s="1352"/>
      <c r="AT128" s="1352"/>
      <c r="AU128" s="1352"/>
      <c r="AV128" s="1352"/>
      <c r="AW128" s="1352"/>
      <c r="AX128" s="1352"/>
      <c r="AY128" s="1352"/>
      <c r="AZ128" s="1352"/>
      <c r="BA128" s="1352"/>
      <c r="BB128" s="1352"/>
      <c r="BC128" s="1352"/>
      <c r="BD128" s="1352"/>
      <c r="BE128" s="1352"/>
      <c r="BF128" s="1352"/>
      <c r="BG128" s="1352"/>
      <c r="BH128" s="1352"/>
      <c r="BI128" s="1352"/>
      <c r="BJ128" s="1352"/>
      <c r="BK128" s="1352"/>
      <c r="BL128" s="1421"/>
      <c r="BM128" s="1354"/>
    </row>
    <row r="129" spans="1:68" ht="30" customHeight="1">
      <c r="A129" s="1321"/>
      <c r="B129" s="1342" t="s">
        <v>2</v>
      </c>
      <c r="C129" s="1348">
        <v>296.7</v>
      </c>
      <c r="D129" s="1348">
        <v>147.69999999999999</v>
      </c>
      <c r="E129" s="1348">
        <v>0</v>
      </c>
      <c r="F129" s="1348">
        <v>0</v>
      </c>
      <c r="G129" s="1348">
        <v>274.10000000000002</v>
      </c>
      <c r="H129" s="1348">
        <v>107.5</v>
      </c>
      <c r="I129" s="1348">
        <v>0</v>
      </c>
      <c r="J129" s="1348">
        <v>0</v>
      </c>
      <c r="K129" s="1348">
        <v>348</v>
      </c>
      <c r="L129" s="1348">
        <v>0</v>
      </c>
      <c r="M129" s="1348">
        <v>0</v>
      </c>
      <c r="N129" s="1348">
        <v>0</v>
      </c>
      <c r="O129" s="1348">
        <v>72</v>
      </c>
      <c r="P129" s="1348">
        <v>8</v>
      </c>
      <c r="Q129" s="1348">
        <v>363</v>
      </c>
      <c r="R129" s="1348">
        <v>413.18</v>
      </c>
      <c r="S129" s="1348">
        <v>0</v>
      </c>
      <c r="T129" s="1348">
        <v>0</v>
      </c>
      <c r="U129" s="1348">
        <v>67</v>
      </c>
      <c r="V129" s="1348">
        <v>0</v>
      </c>
      <c r="W129" s="1348">
        <v>296.7</v>
      </c>
      <c r="X129" s="1348">
        <v>147.69999999999999</v>
      </c>
      <c r="Y129" s="1348">
        <v>0</v>
      </c>
      <c r="Z129" s="1348">
        <v>0</v>
      </c>
      <c r="AA129" s="1348">
        <v>29</v>
      </c>
      <c r="AB129" s="1348">
        <v>0</v>
      </c>
      <c r="AC129" s="1348">
        <v>0</v>
      </c>
      <c r="AD129" s="1348">
        <v>0</v>
      </c>
      <c r="AE129" s="1348">
        <v>0</v>
      </c>
      <c r="AF129" s="1348">
        <v>0</v>
      </c>
      <c r="AG129" s="1348">
        <v>0</v>
      </c>
      <c r="AH129" s="1348">
        <v>0</v>
      </c>
      <c r="AI129" s="1348">
        <v>11.5</v>
      </c>
      <c r="AJ129" s="1348">
        <v>19.5</v>
      </c>
      <c r="AK129" s="1348">
        <v>758.06</v>
      </c>
      <c r="AL129" s="1348">
        <v>42.14</v>
      </c>
      <c r="AM129" s="1348">
        <v>210</v>
      </c>
      <c r="AN129" s="1348">
        <v>51.333333333333329</v>
      </c>
      <c r="AO129" s="1348">
        <v>2726.06</v>
      </c>
      <c r="AP129" s="1349">
        <v>937.05333333333328</v>
      </c>
      <c r="AQ129" s="1348">
        <v>296.7</v>
      </c>
      <c r="AR129" s="1349">
        <v>147.69999999999999</v>
      </c>
      <c r="AS129" s="1352"/>
      <c r="AT129" s="1352"/>
      <c r="AU129" s="1352"/>
      <c r="AV129" s="1352"/>
      <c r="AW129" s="1352"/>
      <c r="AX129" s="1352"/>
      <c r="AY129" s="1352"/>
      <c r="AZ129" s="1352"/>
      <c r="BA129" s="1352"/>
      <c r="BB129" s="1352"/>
      <c r="BC129" s="1352"/>
      <c r="BD129" s="1352"/>
      <c r="BE129" s="1352"/>
      <c r="BF129" s="1352"/>
      <c r="BG129" s="1352"/>
      <c r="BH129" s="1352"/>
      <c r="BI129" s="1352"/>
      <c r="BJ129" s="1352"/>
      <c r="BK129" s="1352"/>
      <c r="BL129" s="1421"/>
      <c r="BM129" s="1354"/>
    </row>
    <row r="130" spans="1:68" ht="30" customHeight="1">
      <c r="A130" s="1321"/>
      <c r="B130" s="1332" t="s">
        <v>11</v>
      </c>
      <c r="C130" s="1333"/>
      <c r="D130" s="1333"/>
      <c r="E130" s="1333"/>
      <c r="F130" s="1333"/>
      <c r="G130" s="1333"/>
      <c r="H130" s="1333"/>
      <c r="I130" s="1333"/>
      <c r="J130" s="1333"/>
      <c r="K130" s="1333"/>
      <c r="L130" s="1333"/>
      <c r="M130" s="1333"/>
      <c r="N130" s="1333"/>
      <c r="O130" s="1333"/>
      <c r="P130" s="1333"/>
      <c r="Q130" s="1333"/>
      <c r="R130" s="1333"/>
      <c r="S130" s="1333"/>
      <c r="T130" s="1333"/>
      <c r="U130" s="1333"/>
      <c r="V130" s="1333"/>
      <c r="W130" s="1333"/>
      <c r="X130" s="1333"/>
      <c r="Y130" s="1333"/>
      <c r="Z130" s="1333"/>
      <c r="AA130" s="1333"/>
      <c r="AB130" s="1333"/>
      <c r="AC130" s="1333"/>
      <c r="AD130" s="1333"/>
      <c r="AE130" s="1333"/>
      <c r="AF130" s="1333"/>
      <c r="AG130" s="1333"/>
      <c r="AH130" s="1333"/>
      <c r="AI130" s="1333"/>
      <c r="AJ130" s="1333"/>
      <c r="AK130" s="1333"/>
      <c r="AL130" s="1333"/>
      <c r="AM130" s="1333"/>
      <c r="AN130" s="1333"/>
      <c r="AO130" s="1335"/>
      <c r="AP130" s="1336"/>
      <c r="AQ130" s="1333"/>
      <c r="AR130" s="1338"/>
      <c r="AS130" s="1352"/>
      <c r="AT130" s="1352"/>
      <c r="AU130" s="1352"/>
      <c r="AV130" s="1352"/>
      <c r="AW130" s="1352"/>
      <c r="AX130" s="1352"/>
      <c r="AY130" s="1352"/>
      <c r="AZ130" s="1352"/>
      <c r="BA130" s="1352"/>
      <c r="BB130" s="1352"/>
      <c r="BC130" s="1352"/>
      <c r="BD130" s="1352"/>
      <c r="BE130" s="1352"/>
      <c r="BF130" s="1352"/>
      <c r="BG130" s="1352"/>
      <c r="BH130" s="1352"/>
      <c r="BI130" s="1352"/>
      <c r="BJ130" s="1352"/>
      <c r="BK130" s="1352"/>
      <c r="BL130" s="1420"/>
      <c r="BM130" s="1354"/>
    </row>
    <row r="131" spans="1:68" ht="24.95" customHeight="1">
      <c r="A131" s="1321"/>
      <c r="B131" s="1342" t="s">
        <v>83</v>
      </c>
      <c r="C131" s="1333"/>
      <c r="D131" s="1333"/>
      <c r="E131" s="1333"/>
      <c r="F131" s="1333"/>
      <c r="G131" s="1333"/>
      <c r="H131" s="1333"/>
      <c r="I131" s="1333"/>
      <c r="J131" s="1333"/>
      <c r="K131" s="1333"/>
      <c r="L131" s="1333"/>
      <c r="M131" s="1333"/>
      <c r="N131" s="1333"/>
      <c r="O131" s="1333"/>
      <c r="P131" s="1333"/>
      <c r="Q131" s="1333"/>
      <c r="R131" s="1333"/>
      <c r="S131" s="1333"/>
      <c r="T131" s="1333"/>
      <c r="U131" s="1333"/>
      <c r="V131" s="1333"/>
      <c r="W131" s="1333"/>
      <c r="X131" s="1333"/>
      <c r="Y131" s="1333"/>
      <c r="Z131" s="1333"/>
      <c r="AA131" s="1333"/>
      <c r="AB131" s="1333"/>
      <c r="AC131" s="1333"/>
      <c r="AD131" s="1333"/>
      <c r="AE131" s="1333"/>
      <c r="AF131" s="1333"/>
      <c r="AG131" s="1333"/>
      <c r="AH131" s="1333"/>
      <c r="AI131" s="1333"/>
      <c r="AJ131" s="1333"/>
      <c r="AK131" s="1333"/>
      <c r="AL131" s="1333"/>
      <c r="AM131" s="1333"/>
      <c r="AN131" s="1333"/>
      <c r="AO131" s="1335"/>
      <c r="AP131" s="1336"/>
      <c r="AQ131" s="1333"/>
      <c r="AR131" s="1338"/>
      <c r="AS131" s="1352"/>
      <c r="AT131" s="1352"/>
      <c r="AU131" s="1352"/>
      <c r="AV131" s="1352"/>
      <c r="AW131" s="1352"/>
      <c r="AX131" s="1352"/>
      <c r="AY131" s="1352"/>
      <c r="AZ131" s="1352"/>
      <c r="BA131" s="1352"/>
      <c r="BB131" s="1352"/>
      <c r="BC131" s="1352"/>
      <c r="BD131" s="1352"/>
      <c r="BE131" s="1352"/>
      <c r="BF131" s="1352"/>
      <c r="BG131" s="1352"/>
      <c r="BH131" s="1352"/>
      <c r="BI131" s="1352"/>
      <c r="BJ131" s="1352"/>
      <c r="BK131" s="1352"/>
      <c r="BL131" s="1420"/>
      <c r="BM131" s="1354"/>
      <c r="BN131" s="1193"/>
      <c r="BO131" s="1193"/>
      <c r="BP131" s="1193"/>
    </row>
    <row r="132" spans="1:68" ht="24.95" customHeight="1">
      <c r="A132" s="1321"/>
      <c r="B132" s="1346" t="s">
        <v>89</v>
      </c>
      <c r="C132" s="1360"/>
      <c r="D132" s="1360"/>
      <c r="E132" s="1360"/>
      <c r="F132" s="1360"/>
      <c r="G132" s="1360"/>
      <c r="H132" s="1360"/>
      <c r="I132" s="1360"/>
      <c r="J132" s="1360"/>
      <c r="K132" s="1360"/>
      <c r="L132" s="1360"/>
      <c r="M132" s="1360"/>
      <c r="N132" s="1360"/>
      <c r="O132" s="1360"/>
      <c r="P132" s="1360"/>
      <c r="Q132" s="1360"/>
      <c r="R132" s="1360"/>
      <c r="S132" s="1360"/>
      <c r="T132" s="1360"/>
      <c r="U132" s="1360"/>
      <c r="V132" s="1360"/>
      <c r="W132" s="1360"/>
      <c r="X132" s="1360"/>
      <c r="Y132" s="1360"/>
      <c r="Z132" s="1360"/>
      <c r="AA132" s="1360"/>
      <c r="AB132" s="1360"/>
      <c r="AC132" s="1360"/>
      <c r="AD132" s="1360"/>
      <c r="AE132" s="1360"/>
      <c r="AF132" s="1360"/>
      <c r="AG132" s="1360"/>
      <c r="AH132" s="1360"/>
      <c r="AI132" s="1360"/>
      <c r="AJ132" s="1360"/>
      <c r="AK132" s="1360"/>
      <c r="AL132" s="1360"/>
      <c r="AM132" s="1360"/>
      <c r="AN132" s="1360"/>
      <c r="AO132" s="1335"/>
      <c r="AP132" s="1336"/>
      <c r="AQ132" s="1360"/>
      <c r="AR132" s="1344"/>
      <c r="AS132" s="1361"/>
      <c r="AT132" s="1361"/>
      <c r="AU132" s="1361"/>
      <c r="AV132" s="1361"/>
      <c r="AW132" s="1361"/>
      <c r="AX132" s="1361"/>
      <c r="AY132" s="1361"/>
      <c r="AZ132" s="1361"/>
      <c r="BA132" s="1361"/>
      <c r="BB132" s="1361"/>
      <c r="BC132" s="1361"/>
      <c r="BD132" s="1361"/>
      <c r="BE132" s="1361"/>
      <c r="BF132" s="1361"/>
      <c r="BG132" s="1361"/>
      <c r="BH132" s="1361"/>
      <c r="BI132" s="1361"/>
      <c r="BJ132" s="1361"/>
      <c r="BK132" s="1361"/>
      <c r="BL132" s="1420"/>
      <c r="BM132" s="1362"/>
      <c r="BN132" s="1193"/>
      <c r="BO132" s="1193"/>
      <c r="BP132" s="1193"/>
    </row>
    <row r="133" spans="1:68" ht="21.95" customHeight="1">
      <c r="A133" s="1345">
        <v>7</v>
      </c>
      <c r="B133" s="1363" t="s">
        <v>33</v>
      </c>
      <c r="C133" s="1347">
        <v>419.7</v>
      </c>
      <c r="D133" s="1347">
        <v>1.3</v>
      </c>
      <c r="E133" s="1347">
        <v>0</v>
      </c>
      <c r="F133" s="1347">
        <v>0</v>
      </c>
      <c r="G133" s="1347">
        <v>375.5</v>
      </c>
      <c r="H133" s="1347">
        <v>0</v>
      </c>
      <c r="I133" s="1347">
        <v>0</v>
      </c>
      <c r="J133" s="1347">
        <v>0</v>
      </c>
      <c r="K133" s="1347">
        <v>495</v>
      </c>
      <c r="L133" s="1347">
        <v>0</v>
      </c>
      <c r="M133" s="1347">
        <v>0</v>
      </c>
      <c r="N133" s="1347">
        <v>0</v>
      </c>
      <c r="O133" s="1347">
        <v>0</v>
      </c>
      <c r="P133" s="1347">
        <v>0</v>
      </c>
      <c r="Q133" s="1347">
        <v>634.49199999999996</v>
      </c>
      <c r="R133" s="1347">
        <v>0</v>
      </c>
      <c r="S133" s="1347">
        <v>0</v>
      </c>
      <c r="T133" s="1347">
        <v>0</v>
      </c>
      <c r="U133" s="1347">
        <v>0</v>
      </c>
      <c r="V133" s="1347">
        <v>0</v>
      </c>
      <c r="W133" s="1347">
        <v>419.7</v>
      </c>
      <c r="X133" s="1347">
        <v>1.3</v>
      </c>
      <c r="Y133" s="1347">
        <v>0</v>
      </c>
      <c r="Z133" s="1347">
        <v>0</v>
      </c>
      <c r="AA133" s="1347">
        <v>0</v>
      </c>
      <c r="AB133" s="1347">
        <v>0</v>
      </c>
      <c r="AC133" s="1347">
        <v>0</v>
      </c>
      <c r="AD133" s="1347">
        <v>0</v>
      </c>
      <c r="AE133" s="1347">
        <v>0</v>
      </c>
      <c r="AF133" s="1347">
        <v>0</v>
      </c>
      <c r="AG133" s="1347">
        <v>0</v>
      </c>
      <c r="AH133" s="1347">
        <v>0</v>
      </c>
      <c r="AI133" s="1347">
        <v>0</v>
      </c>
      <c r="AJ133" s="1347">
        <v>0</v>
      </c>
      <c r="AK133" s="1347">
        <v>0</v>
      </c>
      <c r="AL133" s="1347">
        <v>0</v>
      </c>
      <c r="AM133" s="1347">
        <v>0</v>
      </c>
      <c r="AN133" s="1347">
        <v>0</v>
      </c>
      <c r="AO133" s="1348">
        <v>2344.3919999999998</v>
      </c>
      <c r="AP133" s="1349">
        <v>2.6</v>
      </c>
      <c r="AQ133" s="1347">
        <v>419.7</v>
      </c>
      <c r="AR133" s="1351">
        <v>1.3</v>
      </c>
      <c r="AS133" s="1355">
        <v>65</v>
      </c>
      <c r="AT133" s="1355">
        <v>0</v>
      </c>
      <c r="AU133" s="1355">
        <v>47</v>
      </c>
      <c r="AV133" s="1355">
        <v>0</v>
      </c>
      <c r="AW133" s="1355">
        <v>94</v>
      </c>
      <c r="AX133" s="1355">
        <v>0</v>
      </c>
      <c r="AY133" s="1355">
        <v>0</v>
      </c>
      <c r="AZ133" s="1355">
        <v>101</v>
      </c>
      <c r="BA133" s="1355">
        <v>0</v>
      </c>
      <c r="BB133" s="1355">
        <v>0</v>
      </c>
      <c r="BC133" s="1355">
        <v>65</v>
      </c>
      <c r="BD133" s="1355">
        <v>0</v>
      </c>
      <c r="BE133" s="1355">
        <v>0</v>
      </c>
      <c r="BF133" s="1355">
        <v>0</v>
      </c>
      <c r="BG133" s="1355">
        <v>0</v>
      </c>
      <c r="BH133" s="1355">
        <v>0</v>
      </c>
      <c r="BI133" s="1355">
        <v>0</v>
      </c>
      <c r="BJ133" s="1355">
        <v>0</v>
      </c>
      <c r="BK133" s="1355">
        <v>0</v>
      </c>
      <c r="BL133" s="1422">
        <v>372</v>
      </c>
      <c r="BM133" s="1357">
        <v>65</v>
      </c>
      <c r="BN133" s="1193"/>
      <c r="BO133" s="1193"/>
      <c r="BP133" s="1193"/>
    </row>
    <row r="134" spans="1:68" ht="21.95" customHeight="1">
      <c r="A134" s="1345">
        <v>8</v>
      </c>
      <c r="B134" s="1363" t="s">
        <v>34</v>
      </c>
      <c r="C134" s="1347">
        <v>58.4</v>
      </c>
      <c r="D134" s="1347">
        <v>0</v>
      </c>
      <c r="E134" s="1347">
        <v>0</v>
      </c>
      <c r="F134" s="1347">
        <v>0</v>
      </c>
      <c r="G134" s="1347">
        <v>195</v>
      </c>
      <c r="H134" s="1347">
        <v>0</v>
      </c>
      <c r="I134" s="1347">
        <v>0</v>
      </c>
      <c r="J134" s="1347">
        <v>0</v>
      </c>
      <c r="K134" s="1347">
        <v>0</v>
      </c>
      <c r="L134" s="1347">
        <v>0</v>
      </c>
      <c r="M134" s="1347">
        <v>0</v>
      </c>
      <c r="N134" s="1347">
        <v>0</v>
      </c>
      <c r="O134" s="1347">
        <v>0</v>
      </c>
      <c r="P134" s="1347">
        <v>0</v>
      </c>
      <c r="Q134" s="1347">
        <v>281</v>
      </c>
      <c r="R134" s="1347">
        <v>0</v>
      </c>
      <c r="S134" s="1347">
        <v>0</v>
      </c>
      <c r="T134" s="1347">
        <v>0</v>
      </c>
      <c r="U134" s="1347">
        <v>0</v>
      </c>
      <c r="V134" s="1347">
        <v>0</v>
      </c>
      <c r="W134" s="1347">
        <v>58.4</v>
      </c>
      <c r="X134" s="1347">
        <v>0</v>
      </c>
      <c r="Y134" s="1347">
        <v>0</v>
      </c>
      <c r="Z134" s="1347">
        <v>0</v>
      </c>
      <c r="AA134" s="1347">
        <v>0</v>
      </c>
      <c r="AB134" s="1347">
        <v>0</v>
      </c>
      <c r="AC134" s="1347">
        <v>0</v>
      </c>
      <c r="AD134" s="1347">
        <v>0</v>
      </c>
      <c r="AE134" s="1347">
        <v>0</v>
      </c>
      <c r="AF134" s="1347">
        <v>0</v>
      </c>
      <c r="AG134" s="1347">
        <v>0</v>
      </c>
      <c r="AH134" s="1347">
        <v>0</v>
      </c>
      <c r="AI134" s="1347">
        <v>0</v>
      </c>
      <c r="AJ134" s="1347">
        <v>0</v>
      </c>
      <c r="AK134" s="1347">
        <v>0</v>
      </c>
      <c r="AL134" s="1347">
        <v>0</v>
      </c>
      <c r="AM134" s="1347">
        <v>0</v>
      </c>
      <c r="AN134" s="1347">
        <v>0</v>
      </c>
      <c r="AO134" s="1348">
        <v>592.79999999999995</v>
      </c>
      <c r="AP134" s="1349">
        <v>0</v>
      </c>
      <c r="AQ134" s="1347">
        <v>58.4</v>
      </c>
      <c r="AR134" s="1351">
        <v>0</v>
      </c>
      <c r="AS134" s="1355">
        <v>22</v>
      </c>
      <c r="AT134" s="1355">
        <v>0</v>
      </c>
      <c r="AU134" s="1355">
        <v>41</v>
      </c>
      <c r="AV134" s="1355">
        <v>0</v>
      </c>
      <c r="AW134" s="1355">
        <v>0</v>
      </c>
      <c r="AX134" s="1355">
        <v>0</v>
      </c>
      <c r="AY134" s="1355">
        <v>0</v>
      </c>
      <c r="AZ134" s="1355">
        <v>40</v>
      </c>
      <c r="BA134" s="1355">
        <v>0</v>
      </c>
      <c r="BB134" s="1355">
        <v>0</v>
      </c>
      <c r="BC134" s="1355">
        <v>22</v>
      </c>
      <c r="BD134" s="1355">
        <v>0</v>
      </c>
      <c r="BE134" s="1355">
        <v>0</v>
      </c>
      <c r="BF134" s="1355">
        <v>0</v>
      </c>
      <c r="BG134" s="1355">
        <v>0</v>
      </c>
      <c r="BH134" s="1355">
        <v>0</v>
      </c>
      <c r="BI134" s="1355">
        <v>0</v>
      </c>
      <c r="BJ134" s="1355">
        <v>0</v>
      </c>
      <c r="BK134" s="1355">
        <v>0</v>
      </c>
      <c r="BL134" s="1422">
        <v>125</v>
      </c>
      <c r="BM134" s="1357">
        <v>22</v>
      </c>
      <c r="BN134" s="1193"/>
      <c r="BO134" s="1193"/>
      <c r="BP134" s="1193"/>
    </row>
    <row r="135" spans="1:68" ht="21.95" customHeight="1">
      <c r="A135" s="1345">
        <v>9</v>
      </c>
      <c r="B135" s="1363" t="s">
        <v>5</v>
      </c>
      <c r="C135" s="1347">
        <v>245</v>
      </c>
      <c r="D135" s="1347">
        <v>0</v>
      </c>
      <c r="E135" s="1347">
        <v>0</v>
      </c>
      <c r="F135" s="1347">
        <v>0</v>
      </c>
      <c r="G135" s="1347">
        <v>200</v>
      </c>
      <c r="H135" s="1347">
        <v>0</v>
      </c>
      <c r="I135" s="1347">
        <v>0</v>
      </c>
      <c r="J135" s="1347">
        <v>0</v>
      </c>
      <c r="K135" s="1347">
        <v>214.6</v>
      </c>
      <c r="L135" s="1347">
        <v>0</v>
      </c>
      <c r="M135" s="1347">
        <v>0</v>
      </c>
      <c r="N135" s="1347">
        <v>0</v>
      </c>
      <c r="O135" s="1347">
        <v>0</v>
      </c>
      <c r="P135" s="1347">
        <v>0</v>
      </c>
      <c r="Q135" s="1347">
        <v>312</v>
      </c>
      <c r="R135" s="1347">
        <v>0</v>
      </c>
      <c r="S135" s="1347">
        <v>0</v>
      </c>
      <c r="T135" s="1347">
        <v>0</v>
      </c>
      <c r="U135" s="1347">
        <v>0</v>
      </c>
      <c r="V135" s="1347">
        <v>0</v>
      </c>
      <c r="W135" s="1347">
        <v>245</v>
      </c>
      <c r="X135" s="1347">
        <v>0</v>
      </c>
      <c r="Y135" s="1347">
        <v>0</v>
      </c>
      <c r="Z135" s="1347">
        <v>0</v>
      </c>
      <c r="AA135" s="1347">
        <v>0</v>
      </c>
      <c r="AB135" s="1347">
        <v>0</v>
      </c>
      <c r="AC135" s="1347">
        <v>0</v>
      </c>
      <c r="AD135" s="1347">
        <v>0</v>
      </c>
      <c r="AE135" s="1347">
        <v>0</v>
      </c>
      <c r="AF135" s="1347">
        <v>0</v>
      </c>
      <c r="AG135" s="1347">
        <v>174.5</v>
      </c>
      <c r="AH135" s="1347">
        <v>0</v>
      </c>
      <c r="AI135" s="1347">
        <v>0</v>
      </c>
      <c r="AJ135" s="1347">
        <v>0</v>
      </c>
      <c r="AK135" s="1347">
        <v>0</v>
      </c>
      <c r="AL135" s="1347">
        <v>0</v>
      </c>
      <c r="AM135" s="1347">
        <v>0</v>
      </c>
      <c r="AN135" s="1347">
        <v>0</v>
      </c>
      <c r="AO135" s="1348">
        <v>1391.1</v>
      </c>
      <c r="AP135" s="1349">
        <v>0</v>
      </c>
      <c r="AQ135" s="1347">
        <v>245</v>
      </c>
      <c r="AR135" s="1351">
        <v>0</v>
      </c>
      <c r="AS135" s="1355">
        <v>61</v>
      </c>
      <c r="AT135" s="1355">
        <v>0</v>
      </c>
      <c r="AU135" s="1355">
        <v>61</v>
      </c>
      <c r="AV135" s="1355">
        <v>0</v>
      </c>
      <c r="AW135" s="1355">
        <v>163</v>
      </c>
      <c r="AX135" s="1355">
        <v>0</v>
      </c>
      <c r="AY135" s="1355">
        <v>0</v>
      </c>
      <c r="AZ135" s="1355">
        <v>118</v>
      </c>
      <c r="BA135" s="1355">
        <v>0</v>
      </c>
      <c r="BB135" s="1355">
        <v>0</v>
      </c>
      <c r="BC135" s="1355">
        <v>61</v>
      </c>
      <c r="BD135" s="1355">
        <v>0</v>
      </c>
      <c r="BE135" s="1355">
        <v>0</v>
      </c>
      <c r="BF135" s="1355">
        <v>0</v>
      </c>
      <c r="BG135" s="1355">
        <v>0</v>
      </c>
      <c r="BH135" s="1355">
        <v>155</v>
      </c>
      <c r="BI135" s="1355">
        <v>0</v>
      </c>
      <c r="BJ135" s="1355">
        <v>0</v>
      </c>
      <c r="BK135" s="1355">
        <v>0</v>
      </c>
      <c r="BL135" s="1422">
        <v>619</v>
      </c>
      <c r="BM135" s="1357">
        <v>61</v>
      </c>
      <c r="BN135" s="1193"/>
      <c r="BO135" s="1193"/>
      <c r="BP135" s="1193"/>
    </row>
    <row r="136" spans="1:68" ht="21.95" customHeight="1">
      <c r="A136" s="1345">
        <v>10</v>
      </c>
      <c r="B136" s="1363" t="s">
        <v>6</v>
      </c>
      <c r="C136" s="1347">
        <v>0</v>
      </c>
      <c r="D136" s="1347">
        <v>0</v>
      </c>
      <c r="E136" s="1347">
        <v>0</v>
      </c>
      <c r="F136" s="1347">
        <v>0</v>
      </c>
      <c r="G136" s="1347">
        <v>32</v>
      </c>
      <c r="H136" s="1347">
        <v>0</v>
      </c>
      <c r="I136" s="1347">
        <v>0</v>
      </c>
      <c r="J136" s="1347">
        <v>0</v>
      </c>
      <c r="K136" s="1347">
        <v>0</v>
      </c>
      <c r="L136" s="1347">
        <v>0</v>
      </c>
      <c r="M136" s="1347">
        <v>0</v>
      </c>
      <c r="N136" s="1347">
        <v>0</v>
      </c>
      <c r="O136" s="1347">
        <v>0</v>
      </c>
      <c r="P136" s="1347">
        <v>0</v>
      </c>
      <c r="Q136" s="1347">
        <v>53</v>
      </c>
      <c r="R136" s="1347">
        <v>0</v>
      </c>
      <c r="S136" s="1347">
        <v>0</v>
      </c>
      <c r="T136" s="1347">
        <v>0</v>
      </c>
      <c r="U136" s="1347">
        <v>0</v>
      </c>
      <c r="V136" s="1347">
        <v>0</v>
      </c>
      <c r="W136" s="1347">
        <v>0</v>
      </c>
      <c r="X136" s="1347">
        <v>0</v>
      </c>
      <c r="Y136" s="1347">
        <v>0</v>
      </c>
      <c r="Z136" s="1347">
        <v>0</v>
      </c>
      <c r="AA136" s="1347">
        <v>0</v>
      </c>
      <c r="AB136" s="1347">
        <v>0</v>
      </c>
      <c r="AC136" s="1347">
        <v>0</v>
      </c>
      <c r="AD136" s="1347">
        <v>0</v>
      </c>
      <c r="AE136" s="1347">
        <v>0</v>
      </c>
      <c r="AF136" s="1347">
        <v>0</v>
      </c>
      <c r="AG136" s="1347">
        <v>0</v>
      </c>
      <c r="AH136" s="1347">
        <v>0</v>
      </c>
      <c r="AI136" s="1347">
        <v>0</v>
      </c>
      <c r="AJ136" s="1347">
        <v>0</v>
      </c>
      <c r="AK136" s="1347">
        <v>0</v>
      </c>
      <c r="AL136" s="1347">
        <v>0</v>
      </c>
      <c r="AM136" s="1347">
        <v>0</v>
      </c>
      <c r="AN136" s="1347">
        <v>0</v>
      </c>
      <c r="AO136" s="1348">
        <v>85</v>
      </c>
      <c r="AP136" s="1349">
        <v>0</v>
      </c>
      <c r="AQ136" s="1347">
        <v>0</v>
      </c>
      <c r="AR136" s="1351">
        <v>0</v>
      </c>
      <c r="AS136" s="1355">
        <v>0</v>
      </c>
      <c r="AT136" s="1355">
        <v>0</v>
      </c>
      <c r="AU136" s="1355">
        <v>16</v>
      </c>
      <c r="AV136" s="1355">
        <v>0</v>
      </c>
      <c r="AW136" s="1355">
        <v>0</v>
      </c>
      <c r="AX136" s="1355">
        <v>0</v>
      </c>
      <c r="AY136" s="1355">
        <v>0</v>
      </c>
      <c r="AZ136" s="1355">
        <v>14</v>
      </c>
      <c r="BA136" s="1355">
        <v>0</v>
      </c>
      <c r="BB136" s="1355">
        <v>0</v>
      </c>
      <c r="BC136" s="1355">
        <v>0</v>
      </c>
      <c r="BD136" s="1355">
        <v>0</v>
      </c>
      <c r="BE136" s="1355">
        <v>0</v>
      </c>
      <c r="BF136" s="1355">
        <v>0</v>
      </c>
      <c r="BG136" s="1355">
        <v>0</v>
      </c>
      <c r="BH136" s="1355">
        <v>0</v>
      </c>
      <c r="BI136" s="1355">
        <v>0</v>
      </c>
      <c r="BJ136" s="1355">
        <v>0</v>
      </c>
      <c r="BK136" s="1355">
        <v>0</v>
      </c>
      <c r="BL136" s="1422">
        <v>30</v>
      </c>
      <c r="BM136" s="1357">
        <v>0</v>
      </c>
      <c r="BN136" s="1193"/>
      <c r="BO136" s="1193"/>
      <c r="BP136" s="1193"/>
    </row>
    <row r="137" spans="1:68" ht="24.95" customHeight="1">
      <c r="A137" s="1321"/>
      <c r="B137" s="1346" t="s">
        <v>7</v>
      </c>
      <c r="C137" s="1364"/>
      <c r="D137" s="1364"/>
      <c r="E137" s="1364"/>
      <c r="F137" s="1364"/>
      <c r="G137" s="1364"/>
      <c r="H137" s="1364"/>
      <c r="I137" s="1364"/>
      <c r="J137" s="1364"/>
      <c r="K137" s="1364"/>
      <c r="L137" s="1364"/>
      <c r="M137" s="1364"/>
      <c r="N137" s="1364"/>
      <c r="O137" s="1364"/>
      <c r="P137" s="1364"/>
      <c r="Q137" s="1364"/>
      <c r="R137" s="1364"/>
      <c r="S137" s="1364"/>
      <c r="T137" s="1364"/>
      <c r="U137" s="1364"/>
      <c r="V137" s="1364"/>
      <c r="W137" s="1364"/>
      <c r="X137" s="1364"/>
      <c r="Y137" s="1364"/>
      <c r="Z137" s="1364"/>
      <c r="AA137" s="1364"/>
      <c r="AB137" s="1364"/>
      <c r="AC137" s="1364"/>
      <c r="AD137" s="1364"/>
      <c r="AE137" s="1364"/>
      <c r="AF137" s="1364"/>
      <c r="AG137" s="1364"/>
      <c r="AH137" s="1364"/>
      <c r="AI137" s="1364"/>
      <c r="AJ137" s="1364"/>
      <c r="AK137" s="1364"/>
      <c r="AL137" s="1364"/>
      <c r="AM137" s="1364"/>
      <c r="AN137" s="1364"/>
      <c r="AO137" s="1335"/>
      <c r="AP137" s="1336"/>
      <c r="AQ137" s="1364"/>
      <c r="AR137" s="1367"/>
      <c r="AS137" s="1352"/>
      <c r="AT137" s="1352"/>
      <c r="AU137" s="1352"/>
      <c r="AV137" s="1352"/>
      <c r="AW137" s="1352"/>
      <c r="AX137" s="1352"/>
      <c r="AY137" s="1352"/>
      <c r="AZ137" s="1352"/>
      <c r="BA137" s="1352"/>
      <c r="BB137" s="1352"/>
      <c r="BC137" s="1352"/>
      <c r="BD137" s="1352"/>
      <c r="BE137" s="1352"/>
      <c r="BF137" s="1352"/>
      <c r="BG137" s="1352"/>
      <c r="BH137" s="1352"/>
      <c r="BI137" s="1352"/>
      <c r="BJ137" s="1352"/>
      <c r="BK137" s="1352"/>
      <c r="BL137" s="1424"/>
      <c r="BM137" s="1354"/>
      <c r="BN137" s="1193"/>
      <c r="BO137" s="1193"/>
      <c r="BP137" s="1193"/>
    </row>
    <row r="138" spans="1:68" ht="21.95" customHeight="1">
      <c r="A138" s="1345">
        <v>11</v>
      </c>
      <c r="B138" s="1363" t="s">
        <v>93</v>
      </c>
      <c r="C138" s="1347">
        <v>370.8</v>
      </c>
      <c r="D138" s="1347">
        <v>0</v>
      </c>
      <c r="E138" s="1347">
        <v>0</v>
      </c>
      <c r="F138" s="1347">
        <v>0</v>
      </c>
      <c r="G138" s="1347">
        <v>233</v>
      </c>
      <c r="H138" s="1347">
        <v>0.1</v>
      </c>
      <c r="I138" s="1347">
        <v>0</v>
      </c>
      <c r="J138" s="1347">
        <v>0</v>
      </c>
      <c r="K138" s="1347">
        <v>413.5</v>
      </c>
      <c r="L138" s="1347">
        <v>0</v>
      </c>
      <c r="M138" s="1347">
        <v>0</v>
      </c>
      <c r="N138" s="1347">
        <v>0</v>
      </c>
      <c r="O138" s="1347">
        <v>0</v>
      </c>
      <c r="P138" s="1347">
        <v>0</v>
      </c>
      <c r="Q138" s="1347">
        <v>557.07000000000005</v>
      </c>
      <c r="R138" s="1347">
        <v>9.5500000000000007</v>
      </c>
      <c r="S138" s="1347">
        <v>0</v>
      </c>
      <c r="T138" s="1347">
        <v>0</v>
      </c>
      <c r="U138" s="1347">
        <v>0</v>
      </c>
      <c r="V138" s="1347">
        <v>0</v>
      </c>
      <c r="W138" s="1347">
        <v>370.8</v>
      </c>
      <c r="X138" s="1347">
        <v>0</v>
      </c>
      <c r="Y138" s="1347">
        <v>0</v>
      </c>
      <c r="Z138" s="1347">
        <v>0</v>
      </c>
      <c r="AA138" s="1347">
        <v>0</v>
      </c>
      <c r="AB138" s="1347">
        <v>0</v>
      </c>
      <c r="AC138" s="1347">
        <v>0</v>
      </c>
      <c r="AD138" s="1347">
        <v>0</v>
      </c>
      <c r="AE138" s="1347">
        <v>0</v>
      </c>
      <c r="AF138" s="1347">
        <v>0</v>
      </c>
      <c r="AG138" s="1347">
        <v>0</v>
      </c>
      <c r="AH138" s="1347">
        <v>0</v>
      </c>
      <c r="AI138" s="1347">
        <v>158.5</v>
      </c>
      <c r="AJ138" s="1347">
        <v>1.5</v>
      </c>
      <c r="AK138" s="1347">
        <v>540</v>
      </c>
      <c r="AL138" s="1347">
        <v>1.1000000000000001</v>
      </c>
      <c r="AM138" s="1347">
        <v>270</v>
      </c>
      <c r="AN138" s="1347">
        <v>0.33333333333333331</v>
      </c>
      <c r="AO138" s="1348">
        <v>2913.67</v>
      </c>
      <c r="AP138" s="1349">
        <v>12.583333333333334</v>
      </c>
      <c r="AQ138" s="1347">
        <v>370.8</v>
      </c>
      <c r="AR138" s="1351">
        <v>0</v>
      </c>
      <c r="AS138" s="1355">
        <v>15.83</v>
      </c>
      <c r="AT138" s="1355">
        <v>0</v>
      </c>
      <c r="AU138" s="1355">
        <v>15</v>
      </c>
      <c r="AV138" s="1355">
        <v>0</v>
      </c>
      <c r="AW138" s="1355">
        <v>15</v>
      </c>
      <c r="AX138" s="1355">
        <v>0</v>
      </c>
      <c r="AY138" s="1355">
        <v>0</v>
      </c>
      <c r="AZ138" s="1355">
        <v>8</v>
      </c>
      <c r="BA138" s="1355">
        <v>0</v>
      </c>
      <c r="BB138" s="1355">
        <v>0</v>
      </c>
      <c r="BC138" s="1355">
        <v>15.83</v>
      </c>
      <c r="BD138" s="1355">
        <v>0</v>
      </c>
      <c r="BE138" s="1355">
        <v>0</v>
      </c>
      <c r="BF138" s="1355">
        <v>0</v>
      </c>
      <c r="BG138" s="1355">
        <v>0</v>
      </c>
      <c r="BH138" s="1355">
        <v>0</v>
      </c>
      <c r="BI138" s="1355">
        <v>15</v>
      </c>
      <c r="BJ138" s="1355">
        <v>11</v>
      </c>
      <c r="BK138" s="1355">
        <v>0</v>
      </c>
      <c r="BL138" s="1422">
        <v>95.66</v>
      </c>
      <c r="BM138" s="1357">
        <v>15.83</v>
      </c>
      <c r="BN138" s="1193"/>
      <c r="BO138" s="1193"/>
      <c r="BP138" s="1193"/>
    </row>
    <row r="139" spans="1:68" ht="21.95" customHeight="1">
      <c r="A139" s="1345">
        <v>12</v>
      </c>
      <c r="B139" s="1363" t="s">
        <v>21</v>
      </c>
      <c r="C139" s="1347">
        <v>51</v>
      </c>
      <c r="D139" s="1347">
        <v>0</v>
      </c>
      <c r="E139" s="1347">
        <v>0</v>
      </c>
      <c r="F139" s="1347">
        <v>0</v>
      </c>
      <c r="G139" s="1347">
        <v>0</v>
      </c>
      <c r="H139" s="1347">
        <v>0</v>
      </c>
      <c r="I139" s="1347">
        <v>0</v>
      </c>
      <c r="J139" s="1347">
        <v>0</v>
      </c>
      <c r="K139" s="1347">
        <v>0</v>
      </c>
      <c r="L139" s="1347">
        <v>0</v>
      </c>
      <c r="M139" s="1347">
        <v>0</v>
      </c>
      <c r="N139" s="1347">
        <v>0</v>
      </c>
      <c r="O139" s="1347">
        <v>0</v>
      </c>
      <c r="P139" s="1347">
        <v>0</v>
      </c>
      <c r="Q139" s="1347">
        <v>0</v>
      </c>
      <c r="R139" s="1347">
        <v>0</v>
      </c>
      <c r="S139" s="1347">
        <v>0</v>
      </c>
      <c r="T139" s="1347">
        <v>0</v>
      </c>
      <c r="U139" s="1347">
        <v>0</v>
      </c>
      <c r="V139" s="1347">
        <v>0</v>
      </c>
      <c r="W139" s="1347">
        <v>51</v>
      </c>
      <c r="X139" s="1347">
        <v>0</v>
      </c>
      <c r="Y139" s="1347">
        <v>0</v>
      </c>
      <c r="Z139" s="1347">
        <v>0</v>
      </c>
      <c r="AA139" s="1347">
        <v>0</v>
      </c>
      <c r="AB139" s="1347">
        <v>0</v>
      </c>
      <c r="AC139" s="1347">
        <v>97</v>
      </c>
      <c r="AD139" s="1347">
        <v>0</v>
      </c>
      <c r="AE139" s="1347">
        <v>0</v>
      </c>
      <c r="AF139" s="1347">
        <v>0</v>
      </c>
      <c r="AG139" s="1347">
        <v>0</v>
      </c>
      <c r="AH139" s="1347">
        <v>0</v>
      </c>
      <c r="AI139" s="1347">
        <v>0</v>
      </c>
      <c r="AJ139" s="1347">
        <v>0</v>
      </c>
      <c r="AK139" s="1347">
        <v>0</v>
      </c>
      <c r="AL139" s="1347">
        <v>0</v>
      </c>
      <c r="AM139" s="1347">
        <v>0</v>
      </c>
      <c r="AN139" s="1347">
        <v>0</v>
      </c>
      <c r="AO139" s="1348">
        <v>199</v>
      </c>
      <c r="AP139" s="1349">
        <v>0</v>
      </c>
      <c r="AQ139" s="1347">
        <v>51</v>
      </c>
      <c r="AR139" s="1351">
        <v>0</v>
      </c>
      <c r="AS139" s="1355">
        <v>0</v>
      </c>
      <c r="AT139" s="1355">
        <v>0</v>
      </c>
      <c r="AU139" s="1355">
        <v>0</v>
      </c>
      <c r="AV139" s="1355">
        <v>0</v>
      </c>
      <c r="AW139" s="1355">
        <v>0</v>
      </c>
      <c r="AX139" s="1355">
        <v>0</v>
      </c>
      <c r="AY139" s="1355">
        <v>0</v>
      </c>
      <c r="AZ139" s="1355">
        <v>0</v>
      </c>
      <c r="BA139" s="1355">
        <v>0</v>
      </c>
      <c r="BB139" s="1355">
        <v>0</v>
      </c>
      <c r="BC139" s="1355">
        <v>0</v>
      </c>
      <c r="BD139" s="1355">
        <v>0</v>
      </c>
      <c r="BE139" s="1355">
        <v>0</v>
      </c>
      <c r="BF139" s="1355">
        <v>0</v>
      </c>
      <c r="BG139" s="1355">
        <v>0</v>
      </c>
      <c r="BH139" s="1355">
        <v>0</v>
      </c>
      <c r="BI139" s="1355">
        <v>0</v>
      </c>
      <c r="BJ139" s="1355">
        <v>0</v>
      </c>
      <c r="BK139" s="1355">
        <v>0</v>
      </c>
      <c r="BL139" s="1422">
        <v>0</v>
      </c>
      <c r="BM139" s="1357">
        <v>0</v>
      </c>
      <c r="BN139" s="1193"/>
      <c r="BO139" s="1193"/>
      <c r="BP139" s="1193"/>
    </row>
    <row r="140" spans="1:68" ht="21.95" customHeight="1">
      <c r="A140" s="1345">
        <v>13</v>
      </c>
      <c r="B140" s="1363" t="s">
        <v>22</v>
      </c>
      <c r="C140" s="1347">
        <v>0</v>
      </c>
      <c r="D140" s="1347">
        <v>0</v>
      </c>
      <c r="E140" s="1347">
        <v>0</v>
      </c>
      <c r="F140" s="1347">
        <v>0</v>
      </c>
      <c r="G140" s="1347">
        <v>0</v>
      </c>
      <c r="H140" s="1347">
        <v>0</v>
      </c>
      <c r="I140" s="1347">
        <v>0</v>
      </c>
      <c r="J140" s="1347">
        <v>0</v>
      </c>
      <c r="K140" s="1347">
        <v>355</v>
      </c>
      <c r="L140" s="1347">
        <v>0</v>
      </c>
      <c r="M140" s="1347">
        <v>0</v>
      </c>
      <c r="N140" s="1347">
        <v>0</v>
      </c>
      <c r="O140" s="1347">
        <v>0</v>
      </c>
      <c r="P140" s="1347">
        <v>0</v>
      </c>
      <c r="Q140" s="1347">
        <v>0</v>
      </c>
      <c r="R140" s="1347">
        <v>0</v>
      </c>
      <c r="S140" s="1347">
        <v>0</v>
      </c>
      <c r="T140" s="1347">
        <v>0</v>
      </c>
      <c r="U140" s="1347">
        <v>0</v>
      </c>
      <c r="V140" s="1347">
        <v>0</v>
      </c>
      <c r="W140" s="1347">
        <v>0</v>
      </c>
      <c r="X140" s="1347">
        <v>0</v>
      </c>
      <c r="Y140" s="1347">
        <v>0</v>
      </c>
      <c r="Z140" s="1347">
        <v>0</v>
      </c>
      <c r="AA140" s="1347">
        <v>0</v>
      </c>
      <c r="AB140" s="1347">
        <v>0</v>
      </c>
      <c r="AC140" s="1347">
        <v>0</v>
      </c>
      <c r="AD140" s="1347">
        <v>0</v>
      </c>
      <c r="AE140" s="1347">
        <v>0</v>
      </c>
      <c r="AF140" s="1347">
        <v>0</v>
      </c>
      <c r="AG140" s="1347">
        <v>0</v>
      </c>
      <c r="AH140" s="1347">
        <v>0</v>
      </c>
      <c r="AI140" s="1347">
        <v>0</v>
      </c>
      <c r="AJ140" s="1347">
        <v>0</v>
      </c>
      <c r="AK140" s="1347">
        <v>0</v>
      </c>
      <c r="AL140" s="1347">
        <v>0</v>
      </c>
      <c r="AM140" s="1347">
        <v>0</v>
      </c>
      <c r="AN140" s="1347">
        <v>0</v>
      </c>
      <c r="AO140" s="1348">
        <v>355</v>
      </c>
      <c r="AP140" s="1349">
        <v>0</v>
      </c>
      <c r="AQ140" s="1347">
        <v>0</v>
      </c>
      <c r="AR140" s="1351">
        <v>0</v>
      </c>
      <c r="AS140" s="1355">
        <v>0</v>
      </c>
      <c r="AT140" s="1355">
        <v>0</v>
      </c>
      <c r="AU140" s="1355">
        <v>0</v>
      </c>
      <c r="AV140" s="1355">
        <v>0</v>
      </c>
      <c r="AW140" s="1355">
        <v>6</v>
      </c>
      <c r="AX140" s="1355">
        <v>0</v>
      </c>
      <c r="AY140" s="1355">
        <v>0</v>
      </c>
      <c r="AZ140" s="1355">
        <v>0</v>
      </c>
      <c r="BA140" s="1355">
        <v>0</v>
      </c>
      <c r="BB140" s="1355">
        <v>0</v>
      </c>
      <c r="BC140" s="1355">
        <v>0</v>
      </c>
      <c r="BD140" s="1355">
        <v>0</v>
      </c>
      <c r="BE140" s="1355">
        <v>0</v>
      </c>
      <c r="BF140" s="1355">
        <v>0</v>
      </c>
      <c r="BG140" s="1355">
        <v>0</v>
      </c>
      <c r="BH140" s="1355">
        <v>0</v>
      </c>
      <c r="BI140" s="1355">
        <v>0</v>
      </c>
      <c r="BJ140" s="1355">
        <v>0</v>
      </c>
      <c r="BK140" s="1355">
        <v>0</v>
      </c>
      <c r="BL140" s="1422">
        <v>6</v>
      </c>
      <c r="BM140" s="1357">
        <v>0</v>
      </c>
      <c r="BN140" s="1193"/>
      <c r="BO140" s="1193"/>
      <c r="BP140" s="1193"/>
    </row>
    <row r="141" spans="1:68" ht="21.95" customHeight="1">
      <c r="A141" s="1345">
        <v>14</v>
      </c>
      <c r="B141" s="1363" t="s">
        <v>23</v>
      </c>
      <c r="C141" s="1347">
        <v>0</v>
      </c>
      <c r="D141" s="1347">
        <v>0</v>
      </c>
      <c r="E141" s="1347">
        <v>0</v>
      </c>
      <c r="F141" s="1347">
        <v>0</v>
      </c>
      <c r="G141" s="1347">
        <v>0</v>
      </c>
      <c r="H141" s="1347">
        <v>0</v>
      </c>
      <c r="I141" s="1347">
        <v>0</v>
      </c>
      <c r="J141" s="1347">
        <v>0</v>
      </c>
      <c r="K141" s="1347">
        <v>0</v>
      </c>
      <c r="L141" s="1347">
        <v>0</v>
      </c>
      <c r="M141" s="1347">
        <v>0</v>
      </c>
      <c r="N141" s="1347">
        <v>0</v>
      </c>
      <c r="O141" s="1347">
        <v>0</v>
      </c>
      <c r="P141" s="1347">
        <v>0</v>
      </c>
      <c r="Q141" s="1347">
        <v>91</v>
      </c>
      <c r="R141" s="1347">
        <v>0.6</v>
      </c>
      <c r="S141" s="1347">
        <v>0</v>
      </c>
      <c r="T141" s="1347">
        <v>0</v>
      </c>
      <c r="U141" s="1347">
        <v>0</v>
      </c>
      <c r="V141" s="1347">
        <v>0</v>
      </c>
      <c r="W141" s="1347">
        <v>0</v>
      </c>
      <c r="X141" s="1347">
        <v>0</v>
      </c>
      <c r="Y141" s="1347">
        <v>0</v>
      </c>
      <c r="Z141" s="1347">
        <v>0</v>
      </c>
      <c r="AA141" s="1347">
        <v>0</v>
      </c>
      <c r="AB141" s="1347">
        <v>0</v>
      </c>
      <c r="AC141" s="1347">
        <v>0</v>
      </c>
      <c r="AD141" s="1347">
        <v>0</v>
      </c>
      <c r="AE141" s="1347">
        <v>0</v>
      </c>
      <c r="AF141" s="1347">
        <v>0</v>
      </c>
      <c r="AG141" s="1347">
        <v>0</v>
      </c>
      <c r="AH141" s="1347">
        <v>0</v>
      </c>
      <c r="AI141" s="1347">
        <v>0</v>
      </c>
      <c r="AJ141" s="1347">
        <v>0</v>
      </c>
      <c r="AK141" s="1347">
        <v>0</v>
      </c>
      <c r="AL141" s="1347">
        <v>0</v>
      </c>
      <c r="AM141" s="1347">
        <v>0</v>
      </c>
      <c r="AN141" s="1347">
        <v>0</v>
      </c>
      <c r="AO141" s="1348">
        <v>91</v>
      </c>
      <c r="AP141" s="1349">
        <v>0.6</v>
      </c>
      <c r="AQ141" s="1347">
        <v>0</v>
      </c>
      <c r="AR141" s="1351">
        <v>0</v>
      </c>
      <c r="AS141" s="1355">
        <v>0</v>
      </c>
      <c r="AT141" s="1355">
        <v>0</v>
      </c>
      <c r="AU141" s="1355">
        <v>0</v>
      </c>
      <c r="AV141" s="1355">
        <v>0</v>
      </c>
      <c r="AW141" s="1355">
        <v>0</v>
      </c>
      <c r="AX141" s="1355">
        <v>0</v>
      </c>
      <c r="AY141" s="1355">
        <v>0</v>
      </c>
      <c r="AZ141" s="1355">
        <v>0</v>
      </c>
      <c r="BA141" s="1355">
        <v>0</v>
      </c>
      <c r="BB141" s="1355">
        <v>0</v>
      </c>
      <c r="BC141" s="1355">
        <v>0</v>
      </c>
      <c r="BD141" s="1355">
        <v>0</v>
      </c>
      <c r="BE141" s="1355">
        <v>0</v>
      </c>
      <c r="BF141" s="1355">
        <v>0</v>
      </c>
      <c r="BG141" s="1355">
        <v>0</v>
      </c>
      <c r="BH141" s="1355">
        <v>0</v>
      </c>
      <c r="BI141" s="1355">
        <v>0</v>
      </c>
      <c r="BJ141" s="1355">
        <v>0</v>
      </c>
      <c r="BK141" s="1355">
        <v>0</v>
      </c>
      <c r="BL141" s="1422">
        <v>0</v>
      </c>
      <c r="BM141" s="1357">
        <v>0</v>
      </c>
      <c r="BN141" s="1193"/>
      <c r="BO141" s="1193"/>
      <c r="BP141" s="1193"/>
    </row>
    <row r="142" spans="1:68" ht="24.95" customHeight="1">
      <c r="A142" s="1321"/>
      <c r="B142" s="1346" t="s">
        <v>84</v>
      </c>
      <c r="C142" s="1369"/>
      <c r="D142" s="1369"/>
      <c r="E142" s="1369"/>
      <c r="F142" s="1369"/>
      <c r="G142" s="1369"/>
      <c r="H142" s="1369"/>
      <c r="I142" s="1369"/>
      <c r="J142" s="1369"/>
      <c r="K142" s="1369"/>
      <c r="L142" s="1369"/>
      <c r="M142" s="1369"/>
      <c r="N142" s="1369"/>
      <c r="O142" s="1369"/>
      <c r="P142" s="1369"/>
      <c r="Q142" s="1369"/>
      <c r="R142" s="1369"/>
      <c r="S142" s="1369"/>
      <c r="T142" s="1369"/>
      <c r="U142" s="1369"/>
      <c r="V142" s="1369"/>
      <c r="W142" s="1369"/>
      <c r="X142" s="1369"/>
      <c r="Y142" s="1369"/>
      <c r="Z142" s="1369"/>
      <c r="AA142" s="1369"/>
      <c r="AB142" s="1369"/>
      <c r="AC142" s="1369"/>
      <c r="AD142" s="1369"/>
      <c r="AE142" s="1369"/>
      <c r="AF142" s="1369"/>
      <c r="AG142" s="1369"/>
      <c r="AH142" s="1369"/>
      <c r="AI142" s="1369"/>
      <c r="AJ142" s="1369"/>
      <c r="AK142" s="1369"/>
      <c r="AL142" s="1369"/>
      <c r="AM142" s="1369"/>
      <c r="AN142" s="1369"/>
      <c r="AO142" s="1335"/>
      <c r="AP142" s="1336"/>
      <c r="AQ142" s="1369"/>
      <c r="AR142" s="1371"/>
      <c r="AS142" s="1639"/>
      <c r="AT142" s="1361"/>
      <c r="AU142" s="1419"/>
      <c r="AV142" s="1419"/>
      <c r="AW142" s="1419"/>
      <c r="AX142" s="1419"/>
      <c r="AY142" s="1419"/>
      <c r="AZ142" s="1419"/>
      <c r="BA142" s="1419"/>
      <c r="BB142" s="1419"/>
      <c r="BC142" s="1419"/>
      <c r="BD142" s="1419"/>
      <c r="BE142" s="1419"/>
      <c r="BF142" s="1419"/>
      <c r="BG142" s="1419"/>
      <c r="BH142" s="1419"/>
      <c r="BI142" s="1419"/>
      <c r="BJ142" s="1419"/>
      <c r="BK142" s="1419"/>
      <c r="BL142" s="1420"/>
      <c r="BM142" s="1413"/>
      <c r="BN142" s="1193"/>
      <c r="BO142" s="1193"/>
      <c r="BP142" s="1193"/>
    </row>
    <row r="143" spans="1:68" ht="24.95" customHeight="1">
      <c r="A143" s="1345">
        <v>15</v>
      </c>
      <c r="B143" s="1363" t="s">
        <v>388</v>
      </c>
      <c r="C143" s="1347">
        <v>0</v>
      </c>
      <c r="D143" s="1347">
        <v>0</v>
      </c>
      <c r="E143" s="1347">
        <v>0</v>
      </c>
      <c r="F143" s="1347">
        <v>0</v>
      </c>
      <c r="G143" s="1347">
        <v>1128.5</v>
      </c>
      <c r="H143" s="1347">
        <v>0</v>
      </c>
      <c r="I143" s="1347">
        <v>1592</v>
      </c>
      <c r="J143" s="1347">
        <v>0</v>
      </c>
      <c r="K143" s="1347">
        <v>0</v>
      </c>
      <c r="L143" s="1347">
        <v>0</v>
      </c>
      <c r="M143" s="1347">
        <v>1315.46</v>
      </c>
      <c r="N143" s="1347">
        <v>30.27</v>
      </c>
      <c r="O143" s="1347">
        <v>0</v>
      </c>
      <c r="P143" s="1347">
        <v>0</v>
      </c>
      <c r="Q143" s="1347">
        <v>0</v>
      </c>
      <c r="R143" s="1347">
        <v>0</v>
      </c>
      <c r="S143" s="1347">
        <v>0</v>
      </c>
      <c r="T143" s="1347">
        <v>0</v>
      </c>
      <c r="U143" s="1347">
        <v>0</v>
      </c>
      <c r="V143" s="1347">
        <v>0</v>
      </c>
      <c r="W143" s="1347">
        <v>0</v>
      </c>
      <c r="X143" s="1347">
        <v>0</v>
      </c>
      <c r="Y143" s="1347">
        <v>0</v>
      </c>
      <c r="Z143" s="1347">
        <v>0</v>
      </c>
      <c r="AA143" s="1347">
        <v>744</v>
      </c>
      <c r="AB143" s="1347">
        <v>0</v>
      </c>
      <c r="AC143" s="1347">
        <v>0</v>
      </c>
      <c r="AD143" s="1347">
        <v>0</v>
      </c>
      <c r="AE143" s="1347">
        <v>0</v>
      </c>
      <c r="AF143" s="1347">
        <v>0</v>
      </c>
      <c r="AG143" s="1347">
        <v>0</v>
      </c>
      <c r="AH143" s="1347">
        <v>0</v>
      </c>
      <c r="AI143" s="1347">
        <v>986.45</v>
      </c>
      <c r="AJ143" s="1347">
        <v>0.5</v>
      </c>
      <c r="AK143" s="1347">
        <v>0</v>
      </c>
      <c r="AL143" s="1347">
        <v>0</v>
      </c>
      <c r="AM143" s="1347">
        <v>2002</v>
      </c>
      <c r="AN143" s="1347">
        <v>0.99999999999999989</v>
      </c>
      <c r="AO143" s="1348">
        <v>7768.41</v>
      </c>
      <c r="AP143" s="1349">
        <v>31.77</v>
      </c>
      <c r="AQ143" s="1347">
        <v>0</v>
      </c>
      <c r="AR143" s="1351">
        <v>0</v>
      </c>
      <c r="AS143" s="1640"/>
      <c r="AT143" s="1352"/>
      <c r="AU143" s="1423"/>
      <c r="AV143" s="1423"/>
      <c r="AW143" s="1423"/>
      <c r="AX143" s="1423"/>
      <c r="AY143" s="1423"/>
      <c r="AZ143" s="1423"/>
      <c r="BA143" s="1423"/>
      <c r="BB143" s="1423"/>
      <c r="BC143" s="1423"/>
      <c r="BD143" s="1423"/>
      <c r="BE143" s="1423"/>
      <c r="BF143" s="1423"/>
      <c r="BG143" s="1423"/>
      <c r="BH143" s="1423"/>
      <c r="BI143" s="1423"/>
      <c r="BJ143" s="1423"/>
      <c r="BK143" s="1423"/>
      <c r="BL143" s="1421"/>
      <c r="BM143" s="1414"/>
      <c r="BN143" s="1193"/>
      <c r="BO143" s="1193"/>
      <c r="BP143" s="1193"/>
    </row>
    <row r="144" spans="1:68" ht="24.95" customHeight="1">
      <c r="A144" s="1345">
        <v>16</v>
      </c>
      <c r="B144" s="1363" t="s">
        <v>362</v>
      </c>
      <c r="C144" s="1347">
        <v>0</v>
      </c>
      <c r="D144" s="1347">
        <v>0</v>
      </c>
      <c r="E144" s="1347">
        <v>75</v>
      </c>
      <c r="F144" s="1347">
        <v>1.25</v>
      </c>
      <c r="G144" s="1347">
        <v>0</v>
      </c>
      <c r="H144" s="1347">
        <v>0</v>
      </c>
      <c r="I144" s="1347">
        <v>0</v>
      </c>
      <c r="J144" s="1347">
        <v>0</v>
      </c>
      <c r="K144" s="1347">
        <v>64</v>
      </c>
      <c r="L144" s="1347">
        <v>0.5</v>
      </c>
      <c r="M144" s="1347">
        <v>113.7</v>
      </c>
      <c r="N144" s="1347">
        <v>0.33300000000000002</v>
      </c>
      <c r="O144" s="1347">
        <v>0</v>
      </c>
      <c r="P144" s="1347">
        <v>0</v>
      </c>
      <c r="Q144" s="1347">
        <v>87</v>
      </c>
      <c r="R144" s="1347">
        <v>0</v>
      </c>
      <c r="S144" s="1347">
        <v>0</v>
      </c>
      <c r="T144" s="1347">
        <v>0</v>
      </c>
      <c r="U144" s="1347">
        <v>0</v>
      </c>
      <c r="V144" s="1347">
        <v>0</v>
      </c>
      <c r="W144" s="1347">
        <v>0</v>
      </c>
      <c r="X144" s="1347">
        <v>0</v>
      </c>
      <c r="Y144" s="1347">
        <v>68</v>
      </c>
      <c r="Z144" s="1347">
        <v>0.42</v>
      </c>
      <c r="AA144" s="1347">
        <v>41</v>
      </c>
      <c r="AB144" s="1347">
        <v>0</v>
      </c>
      <c r="AC144" s="1347">
        <v>0</v>
      </c>
      <c r="AD144" s="1347">
        <v>0</v>
      </c>
      <c r="AE144" s="1347">
        <v>0</v>
      </c>
      <c r="AF144" s="1347">
        <v>0</v>
      </c>
      <c r="AG144" s="1347">
        <v>0</v>
      </c>
      <c r="AH144" s="1347">
        <v>0</v>
      </c>
      <c r="AI144" s="1347">
        <v>0</v>
      </c>
      <c r="AJ144" s="1347">
        <v>0</v>
      </c>
      <c r="AK144" s="1347">
        <v>0</v>
      </c>
      <c r="AL144" s="1347">
        <v>0</v>
      </c>
      <c r="AM144" s="1347">
        <v>0</v>
      </c>
      <c r="AN144" s="1347">
        <v>0</v>
      </c>
      <c r="AO144" s="1348">
        <v>448.7</v>
      </c>
      <c r="AP144" s="1349">
        <v>2.5030000000000001</v>
      </c>
      <c r="AQ144" s="1347">
        <v>0</v>
      </c>
      <c r="AR144" s="1351">
        <v>0</v>
      </c>
      <c r="AS144" s="1639"/>
      <c r="AT144" s="1352"/>
      <c r="AU144" s="1419"/>
      <c r="AV144" s="1419"/>
      <c r="AW144" s="1419"/>
      <c r="AX144" s="1419"/>
      <c r="AY144" s="1419"/>
      <c r="AZ144" s="1419"/>
      <c r="BA144" s="1419"/>
      <c r="BB144" s="1419"/>
      <c r="BC144" s="1419"/>
      <c r="BD144" s="1419"/>
      <c r="BE144" s="1419"/>
      <c r="BF144" s="1419"/>
      <c r="BG144" s="1419"/>
      <c r="BH144" s="1419"/>
      <c r="BI144" s="1419"/>
      <c r="BJ144" s="1419"/>
      <c r="BK144" s="1419"/>
      <c r="BL144" s="1421"/>
      <c r="BM144" s="1413"/>
      <c r="BN144" s="1193"/>
      <c r="BO144" s="1193"/>
      <c r="BP144" s="1193"/>
    </row>
    <row r="145" spans="1:68" ht="24.95" customHeight="1">
      <c r="A145" s="1321"/>
      <c r="B145" s="1342" t="s">
        <v>85</v>
      </c>
      <c r="C145" s="1333"/>
      <c r="D145" s="1333"/>
      <c r="E145" s="1333"/>
      <c r="F145" s="1333"/>
      <c r="G145" s="1333"/>
      <c r="H145" s="1333"/>
      <c r="I145" s="1333"/>
      <c r="J145" s="1333"/>
      <c r="K145" s="1333"/>
      <c r="L145" s="1333"/>
      <c r="M145" s="1333"/>
      <c r="N145" s="1333"/>
      <c r="O145" s="1333"/>
      <c r="P145" s="1333"/>
      <c r="Q145" s="1333"/>
      <c r="R145" s="1333"/>
      <c r="S145" s="1333"/>
      <c r="T145" s="1333"/>
      <c r="U145" s="1333"/>
      <c r="V145" s="1333"/>
      <c r="W145" s="1333"/>
      <c r="X145" s="1333"/>
      <c r="Y145" s="1333"/>
      <c r="Z145" s="1333"/>
      <c r="AA145" s="1333"/>
      <c r="AB145" s="1333"/>
      <c r="AC145" s="1333"/>
      <c r="AD145" s="1333"/>
      <c r="AE145" s="1333"/>
      <c r="AF145" s="1333"/>
      <c r="AG145" s="1333"/>
      <c r="AH145" s="1333"/>
      <c r="AI145" s="1333"/>
      <c r="AJ145" s="1333"/>
      <c r="AK145" s="1333"/>
      <c r="AL145" s="1333"/>
      <c r="AM145" s="1333"/>
      <c r="AN145" s="1333"/>
      <c r="AO145" s="1335"/>
      <c r="AP145" s="1336"/>
      <c r="AQ145" s="1333"/>
      <c r="AR145" s="1338"/>
      <c r="AS145" s="1639"/>
      <c r="AT145" s="1352"/>
      <c r="AU145" s="1419"/>
      <c r="AV145" s="1419"/>
      <c r="AW145" s="1419"/>
      <c r="AX145" s="1419"/>
      <c r="AY145" s="1419"/>
      <c r="AZ145" s="1419"/>
      <c r="BA145" s="1419"/>
      <c r="BB145" s="1419"/>
      <c r="BC145" s="1419"/>
      <c r="BD145" s="1419"/>
      <c r="BE145" s="1419"/>
      <c r="BF145" s="1419"/>
      <c r="BG145" s="1419"/>
      <c r="BH145" s="1419"/>
      <c r="BI145" s="1419"/>
      <c r="BJ145" s="1419"/>
      <c r="BK145" s="1419"/>
      <c r="BL145" s="1420"/>
      <c r="BM145" s="1413"/>
      <c r="BN145" s="1193"/>
      <c r="BO145" s="1193"/>
      <c r="BP145" s="1193"/>
    </row>
    <row r="146" spans="1:68" ht="24.95" customHeight="1">
      <c r="A146" s="1345">
        <v>17</v>
      </c>
      <c r="B146" s="1346" t="s">
        <v>90</v>
      </c>
      <c r="C146" s="1347">
        <v>2776.9</v>
      </c>
      <c r="D146" s="1347">
        <v>79.400000000000006</v>
      </c>
      <c r="E146" s="1347">
        <v>1877.75</v>
      </c>
      <c r="F146" s="1347">
        <v>40.5625</v>
      </c>
      <c r="G146" s="1347">
        <v>1916.1</v>
      </c>
      <c r="H146" s="1347">
        <v>10.4</v>
      </c>
      <c r="I146" s="1347">
        <v>2928.8</v>
      </c>
      <c r="J146" s="1347">
        <v>113.4</v>
      </c>
      <c r="K146" s="1347">
        <v>3877.4133333333548</v>
      </c>
      <c r="L146" s="1347">
        <v>51.477500000000134</v>
      </c>
      <c r="M146" s="1347">
        <v>2713.09</v>
      </c>
      <c r="N146" s="1347">
        <v>308.60000000000002</v>
      </c>
      <c r="O146" s="1347">
        <v>136</v>
      </c>
      <c r="P146" s="1347">
        <v>0</v>
      </c>
      <c r="Q146" s="1347">
        <v>4768.4470000000001</v>
      </c>
      <c r="R146" s="1347">
        <v>18.88</v>
      </c>
      <c r="S146" s="1347">
        <v>3256.33</v>
      </c>
      <c r="T146" s="1347">
        <v>18.850000000000001</v>
      </c>
      <c r="U146" s="1347">
        <v>1521.3</v>
      </c>
      <c r="V146" s="1347">
        <v>282.5</v>
      </c>
      <c r="W146" s="1347">
        <v>2776.9</v>
      </c>
      <c r="X146" s="1347">
        <v>79.400000000000006</v>
      </c>
      <c r="Y146" s="1347">
        <v>355</v>
      </c>
      <c r="Z146" s="1347">
        <v>7.16</v>
      </c>
      <c r="AA146" s="1347">
        <v>1397.5</v>
      </c>
      <c r="AB146" s="1347">
        <v>79.63</v>
      </c>
      <c r="AC146" s="1347">
        <v>0</v>
      </c>
      <c r="AD146" s="1347">
        <v>0</v>
      </c>
      <c r="AE146" s="1347">
        <v>980</v>
      </c>
      <c r="AF146" s="1347">
        <v>54.95</v>
      </c>
      <c r="AG146" s="1347">
        <v>1236.8</v>
      </c>
      <c r="AH146" s="1347">
        <v>8.1</v>
      </c>
      <c r="AI146" s="1347">
        <v>2047.59</v>
      </c>
      <c r="AJ146" s="1347">
        <v>33.83</v>
      </c>
      <c r="AK146" s="1347">
        <v>5688.25</v>
      </c>
      <c r="AL146" s="1347">
        <v>14.75</v>
      </c>
      <c r="AM146" s="1347">
        <v>2916</v>
      </c>
      <c r="AN146" s="1347">
        <v>99.583333333333343</v>
      </c>
      <c r="AO146" s="1348">
        <v>43170.17033333335</v>
      </c>
      <c r="AP146" s="1349">
        <v>1301.4733333333334</v>
      </c>
      <c r="AQ146" s="1347">
        <v>2776.9</v>
      </c>
      <c r="AR146" s="1351">
        <v>79.400000000000006</v>
      </c>
      <c r="AS146" s="1639"/>
      <c r="AT146" s="1352"/>
      <c r="AU146" s="1419"/>
      <c r="AV146" s="1419"/>
      <c r="AW146" s="1419"/>
      <c r="AX146" s="1419"/>
      <c r="AY146" s="1419"/>
      <c r="AZ146" s="1419"/>
      <c r="BA146" s="1419"/>
      <c r="BB146" s="1419"/>
      <c r="BC146" s="1419"/>
      <c r="BD146" s="1419"/>
      <c r="BE146" s="1419"/>
      <c r="BF146" s="1419"/>
      <c r="BG146" s="1419"/>
      <c r="BH146" s="1419"/>
      <c r="BI146" s="1419"/>
      <c r="BJ146" s="1419"/>
      <c r="BK146" s="1419"/>
      <c r="BL146" s="1421"/>
      <c r="BM146" s="1413"/>
      <c r="BN146" s="1193"/>
      <c r="BO146" s="1193"/>
      <c r="BP146" s="1193"/>
    </row>
    <row r="147" spans="1:68" ht="24.95" customHeight="1">
      <c r="A147" s="1345">
        <v>18</v>
      </c>
      <c r="B147" s="1346" t="s">
        <v>88</v>
      </c>
      <c r="C147" s="1347">
        <v>3579</v>
      </c>
      <c r="D147" s="1347">
        <v>237.2</v>
      </c>
      <c r="E147" s="1347">
        <v>1258.75</v>
      </c>
      <c r="F147" s="1347">
        <v>51.5625</v>
      </c>
      <c r="G147" s="1347">
        <v>3107.4</v>
      </c>
      <c r="H147" s="1347">
        <v>381.9</v>
      </c>
      <c r="I147" s="1347">
        <v>3466.7</v>
      </c>
      <c r="J147" s="1347">
        <v>452.7</v>
      </c>
      <c r="K147" s="1347">
        <v>4932.7891666666574</v>
      </c>
      <c r="L147" s="1347">
        <v>150.86166666666622</v>
      </c>
      <c r="M147" s="1347">
        <v>5793.6900000000005</v>
      </c>
      <c r="N147" s="1347">
        <v>364.47</v>
      </c>
      <c r="O147" s="1347">
        <v>882.5</v>
      </c>
      <c r="P147" s="1347">
        <v>6.75</v>
      </c>
      <c r="Q147" s="1347">
        <v>6300.0010000000002</v>
      </c>
      <c r="R147" s="1347">
        <v>79.662000000000006</v>
      </c>
      <c r="S147" s="1347">
        <v>1255.8400000000001</v>
      </c>
      <c r="T147" s="1347">
        <v>4.5</v>
      </c>
      <c r="U147" s="1347">
        <v>3413.6</v>
      </c>
      <c r="V147" s="1347">
        <v>619</v>
      </c>
      <c r="W147" s="1347">
        <v>3579</v>
      </c>
      <c r="X147" s="1347">
        <v>237.2</v>
      </c>
      <c r="Y147" s="1347">
        <v>2150</v>
      </c>
      <c r="Z147" s="1347">
        <v>79.92</v>
      </c>
      <c r="AA147" s="1347">
        <v>4606</v>
      </c>
      <c r="AB147" s="1347">
        <v>120</v>
      </c>
      <c r="AC147" s="1347">
        <v>462</v>
      </c>
      <c r="AD147" s="1347">
        <v>0</v>
      </c>
      <c r="AE147" s="1347">
        <v>335</v>
      </c>
      <c r="AF147" s="1347">
        <v>22.52</v>
      </c>
      <c r="AG147" s="1347">
        <v>1299.8</v>
      </c>
      <c r="AH147" s="1347">
        <v>51.5</v>
      </c>
      <c r="AI147" s="1347">
        <v>3191.68</v>
      </c>
      <c r="AJ147" s="1347">
        <v>145.54</v>
      </c>
      <c r="AK147" s="1347">
        <v>5375.25</v>
      </c>
      <c r="AL147" s="1347">
        <v>101.04300000000001</v>
      </c>
      <c r="AM147" s="1347">
        <v>5146</v>
      </c>
      <c r="AN147" s="1347">
        <v>368.00000000000017</v>
      </c>
      <c r="AO147" s="1348">
        <v>60135.000166666658</v>
      </c>
      <c r="AP147" s="1349">
        <v>3474.3291666666664</v>
      </c>
      <c r="AQ147" s="1347">
        <v>3579</v>
      </c>
      <c r="AR147" s="1351">
        <v>237.2</v>
      </c>
      <c r="AS147" s="1639"/>
      <c r="AT147" s="1352"/>
      <c r="AU147" s="1419"/>
      <c r="AV147" s="1419"/>
      <c r="AW147" s="1419"/>
      <c r="AX147" s="1419"/>
      <c r="AY147" s="1419"/>
      <c r="AZ147" s="1419"/>
      <c r="BA147" s="1419"/>
      <c r="BB147" s="1419"/>
      <c r="BC147" s="1419"/>
      <c r="BD147" s="1419"/>
      <c r="BE147" s="1419"/>
      <c r="BF147" s="1419"/>
      <c r="BG147" s="1419"/>
      <c r="BH147" s="1419"/>
      <c r="BI147" s="1419"/>
      <c r="BJ147" s="1419"/>
      <c r="BK147" s="1419"/>
      <c r="BL147" s="1421"/>
      <c r="BM147" s="1413"/>
      <c r="BN147" s="1193"/>
      <c r="BO147" s="1193"/>
      <c r="BP147" s="1193"/>
    </row>
    <row r="148" spans="1:68" ht="30" customHeight="1">
      <c r="A148" s="1300"/>
      <c r="B148" s="1342" t="s">
        <v>2</v>
      </c>
      <c r="C148" s="1348">
        <f t="shared" ref="C148:E148" si="19">SUM(C133:C147)</f>
        <v>7500.8</v>
      </c>
      <c r="D148" s="1348">
        <f t="shared" ref="D148:G148" si="20">SUM(D133:D147)</f>
        <v>317.89999999999998</v>
      </c>
      <c r="E148" s="1348">
        <f t="shared" si="19"/>
        <v>3211.5</v>
      </c>
      <c r="F148" s="1348">
        <f t="shared" si="20"/>
        <v>93.375</v>
      </c>
      <c r="G148" s="1348">
        <f t="shared" si="20"/>
        <v>7187.5</v>
      </c>
      <c r="H148" s="1348">
        <f t="shared" ref="H148:N148" si="21">SUM(H133:H147)</f>
        <v>392.4</v>
      </c>
      <c r="I148" s="1348">
        <f t="shared" si="21"/>
        <v>7987.5</v>
      </c>
      <c r="J148" s="1348">
        <f t="shared" si="21"/>
        <v>566.1</v>
      </c>
      <c r="K148" s="1348">
        <f t="shared" si="21"/>
        <v>10352.302500000013</v>
      </c>
      <c r="L148" s="1348">
        <f t="shared" si="21"/>
        <v>202.83916666666636</v>
      </c>
      <c r="M148" s="1348">
        <f t="shared" si="21"/>
        <v>9935.94</v>
      </c>
      <c r="N148" s="1348">
        <f t="shared" si="21"/>
        <v>703.673</v>
      </c>
      <c r="O148" s="1348">
        <f t="shared" ref="O148:T148" si="22">SUM(O133:O147)</f>
        <v>1018.5</v>
      </c>
      <c r="P148" s="1348">
        <f t="shared" si="22"/>
        <v>6.75</v>
      </c>
      <c r="Q148" s="1348">
        <f t="shared" si="22"/>
        <v>13084.01</v>
      </c>
      <c r="R148" s="1348">
        <f t="shared" si="22"/>
        <v>108.69200000000001</v>
      </c>
      <c r="S148" s="1348">
        <f t="shared" si="22"/>
        <v>4512.17</v>
      </c>
      <c r="T148" s="1348">
        <f t="shared" si="22"/>
        <v>23.35</v>
      </c>
      <c r="U148" s="1348">
        <f t="shared" ref="U148:X148" si="23">SUM(U133:U147)</f>
        <v>4934.8999999999996</v>
      </c>
      <c r="V148" s="1348">
        <f t="shared" si="23"/>
        <v>901.5</v>
      </c>
      <c r="W148" s="1348">
        <f t="shared" si="23"/>
        <v>7500.8</v>
      </c>
      <c r="X148" s="1348">
        <f t="shared" si="23"/>
        <v>317.89999999999998</v>
      </c>
      <c r="Y148" s="1348">
        <f t="shared" ref="Y148:AB148" si="24">SUM(Y133:Y147)</f>
        <v>2573</v>
      </c>
      <c r="Z148" s="1348">
        <f t="shared" si="24"/>
        <v>87.5</v>
      </c>
      <c r="AA148" s="1348">
        <f t="shared" si="24"/>
        <v>6788.5</v>
      </c>
      <c r="AB148" s="1348">
        <f t="shared" si="24"/>
        <v>199.63</v>
      </c>
      <c r="AC148" s="1348">
        <f t="shared" ref="AC148:AJ148" si="25">SUM(AC133:AC147)</f>
        <v>559</v>
      </c>
      <c r="AD148" s="1348">
        <f t="shared" si="25"/>
        <v>0</v>
      </c>
      <c r="AE148" s="1348">
        <f t="shared" si="25"/>
        <v>1315</v>
      </c>
      <c r="AF148" s="1348">
        <f t="shared" si="25"/>
        <v>77.47</v>
      </c>
      <c r="AG148" s="1348">
        <f t="shared" si="25"/>
        <v>2711.1</v>
      </c>
      <c r="AH148" s="1348">
        <f t="shared" si="25"/>
        <v>59.6</v>
      </c>
      <c r="AI148" s="1348">
        <f t="shared" si="25"/>
        <v>6384.2199999999993</v>
      </c>
      <c r="AJ148" s="1348">
        <f t="shared" si="25"/>
        <v>181.37</v>
      </c>
      <c r="AK148" s="1348">
        <f t="shared" ref="AK148:AL148" si="26">SUM(AK133:AK147)</f>
        <v>11603.5</v>
      </c>
      <c r="AL148" s="1348">
        <f t="shared" si="26"/>
        <v>116.893</v>
      </c>
      <c r="AM148" s="1348">
        <f t="shared" ref="AM148:AN148" si="27">SUM(AM133:AM147)</f>
        <v>10334</v>
      </c>
      <c r="AN148" s="1348">
        <f t="shared" si="27"/>
        <v>468.91666666666686</v>
      </c>
      <c r="AO148" s="1348">
        <f t="shared" ref="AO148:AP149" si="28">SUM(C148,E148,G148,I148,K148,M148,O148,Q148,S148,U148,W148,Y148,AA148,AC148,AE148,AG148,AI148,AK148,AM148)</f>
        <v>119494.24250000002</v>
      </c>
      <c r="AP148" s="1349">
        <f t="shared" si="28"/>
        <v>4825.8588333333337</v>
      </c>
      <c r="AQ148" s="1348">
        <f t="shared" ref="AQ148:AR148" si="29">SUM(AQ133:AQ147)</f>
        <v>7500.8</v>
      </c>
      <c r="AR148" s="1349">
        <f t="shared" si="29"/>
        <v>317.89999999999998</v>
      </c>
      <c r="AS148" s="1639"/>
      <c r="AT148" s="1352"/>
      <c r="AU148" s="1419"/>
      <c r="AV148" s="1419"/>
      <c r="AW148" s="1419"/>
      <c r="AX148" s="1419"/>
      <c r="AY148" s="1419"/>
      <c r="AZ148" s="1419"/>
      <c r="BA148" s="1419"/>
      <c r="BB148" s="1419"/>
      <c r="BC148" s="1419"/>
      <c r="BD148" s="1419"/>
      <c r="BE148" s="1419"/>
      <c r="BF148" s="1419"/>
      <c r="BG148" s="1419"/>
      <c r="BH148" s="1419"/>
      <c r="BI148" s="1419"/>
      <c r="BJ148" s="1419"/>
      <c r="BK148" s="1419"/>
      <c r="BL148" s="1425"/>
      <c r="BM148" s="1413"/>
      <c r="BN148" s="1193"/>
      <c r="BO148" s="1193"/>
      <c r="BP148" s="1193"/>
    </row>
    <row r="149" spans="1:68" ht="30" customHeight="1" thickBot="1">
      <c r="A149" s="1374">
        <v>19</v>
      </c>
      <c r="B149" s="1393" t="s">
        <v>91</v>
      </c>
      <c r="C149" s="1376">
        <f t="shared" ref="C149:E149" si="30">SUM(C118,C123,C129,C148)</f>
        <v>8736.6</v>
      </c>
      <c r="D149" s="1376">
        <f t="shared" ref="D149:G149" si="31">SUM(D118,D123,D129,D148)</f>
        <v>601.09999999999991</v>
      </c>
      <c r="E149" s="1376">
        <f t="shared" si="30"/>
        <v>3317</v>
      </c>
      <c r="F149" s="1376">
        <f t="shared" si="31"/>
        <v>160.96</v>
      </c>
      <c r="G149" s="1376">
        <f t="shared" si="31"/>
        <v>8142.1</v>
      </c>
      <c r="H149" s="1376">
        <f t="shared" ref="H149:N149" si="32">SUM(H118,H123,H129,H148)</f>
        <v>1159.27</v>
      </c>
      <c r="I149" s="1376">
        <f t="shared" si="32"/>
        <v>8629.5</v>
      </c>
      <c r="J149" s="1376">
        <f t="shared" si="32"/>
        <v>835</v>
      </c>
      <c r="K149" s="1376">
        <f t="shared" si="32"/>
        <v>12396.802500000013</v>
      </c>
      <c r="L149" s="1376">
        <f t="shared" si="32"/>
        <v>502.43916666666638</v>
      </c>
      <c r="M149" s="1376">
        <f t="shared" si="32"/>
        <v>10327.710000000001</v>
      </c>
      <c r="N149" s="1376">
        <f t="shared" si="32"/>
        <v>938.66300000000001</v>
      </c>
      <c r="O149" s="1376">
        <f t="shared" ref="O149:T149" si="33">SUM(O118,O123,O129,O148)</f>
        <v>1302.5</v>
      </c>
      <c r="P149" s="1376">
        <f t="shared" si="33"/>
        <v>30.35</v>
      </c>
      <c r="Q149" s="1376">
        <f t="shared" si="33"/>
        <v>15523.01</v>
      </c>
      <c r="R149" s="1376">
        <f t="shared" si="33"/>
        <v>1003.232</v>
      </c>
      <c r="S149" s="1376">
        <f t="shared" si="33"/>
        <v>5367.77</v>
      </c>
      <c r="T149" s="1376">
        <f t="shared" si="33"/>
        <v>125</v>
      </c>
      <c r="U149" s="1376">
        <f t="shared" ref="U149:X149" si="34">SUM(U118,U123,U129,U148)</f>
        <v>5053.8999999999996</v>
      </c>
      <c r="V149" s="1376">
        <f t="shared" si="34"/>
        <v>992.9</v>
      </c>
      <c r="W149" s="1376">
        <f t="shared" si="34"/>
        <v>8736.6</v>
      </c>
      <c r="X149" s="1376">
        <f t="shared" si="34"/>
        <v>601.09999999999991</v>
      </c>
      <c r="Y149" s="1376">
        <f t="shared" ref="Y149:AB149" si="35">SUM(Y118,Y123,Y129,Y148)</f>
        <v>2786</v>
      </c>
      <c r="Z149" s="1376">
        <f t="shared" si="35"/>
        <v>269.78999999999996</v>
      </c>
      <c r="AA149" s="1376">
        <f t="shared" si="35"/>
        <v>6992.33</v>
      </c>
      <c r="AB149" s="1376">
        <f t="shared" si="35"/>
        <v>386.15</v>
      </c>
      <c r="AC149" s="1376">
        <f t="shared" ref="AC149:AJ149" si="36">SUM(AC118,AC123,AC129,AC148)</f>
        <v>642</v>
      </c>
      <c r="AD149" s="1376">
        <f t="shared" si="36"/>
        <v>15</v>
      </c>
      <c r="AE149" s="1376">
        <f t="shared" si="36"/>
        <v>1315</v>
      </c>
      <c r="AF149" s="1376">
        <f t="shared" si="36"/>
        <v>92.63</v>
      </c>
      <c r="AG149" s="1376">
        <f t="shared" si="36"/>
        <v>3616.6</v>
      </c>
      <c r="AH149" s="1376">
        <f t="shared" si="36"/>
        <v>132.1</v>
      </c>
      <c r="AI149" s="1376">
        <f t="shared" si="36"/>
        <v>6893.4199999999992</v>
      </c>
      <c r="AJ149" s="1376">
        <f t="shared" si="36"/>
        <v>511.81</v>
      </c>
      <c r="AK149" s="1376">
        <f t="shared" ref="AK149:AL149" si="37">SUM(AK118,AK123,AK129,AK148)</f>
        <v>13550.08</v>
      </c>
      <c r="AL149" s="1376">
        <f t="shared" si="37"/>
        <v>473.00599999999997</v>
      </c>
      <c r="AM149" s="1376">
        <f t="shared" ref="AM149:AN149" si="38">SUM(AM118,AM123,AM129,AM148)</f>
        <v>11102</v>
      </c>
      <c r="AN149" s="1376">
        <f t="shared" si="38"/>
        <v>816.16666666666674</v>
      </c>
      <c r="AO149" s="1376">
        <f t="shared" si="28"/>
        <v>134430.92250000004</v>
      </c>
      <c r="AP149" s="1378">
        <f t="shared" si="28"/>
        <v>9646.6668333333309</v>
      </c>
      <c r="AQ149" s="1376">
        <f t="shared" ref="AQ149:AR149" si="39">SUM(AQ118,AQ123,AQ129,AQ148)</f>
        <v>8736.6</v>
      </c>
      <c r="AR149" s="1378">
        <f t="shared" si="39"/>
        <v>601.09999999999991</v>
      </c>
      <c r="AS149" s="1641"/>
      <c r="AT149" s="1380"/>
      <c r="AU149" s="1426"/>
      <c r="AV149" s="1426"/>
      <c r="AW149" s="1426"/>
      <c r="AX149" s="1426"/>
      <c r="AY149" s="1426"/>
      <c r="AZ149" s="1426"/>
      <c r="BA149" s="1426"/>
      <c r="BB149" s="1426"/>
      <c r="BC149" s="1426"/>
      <c r="BD149" s="1426"/>
      <c r="BE149" s="1426"/>
      <c r="BF149" s="1426"/>
      <c r="BG149" s="1426"/>
      <c r="BH149" s="1426"/>
      <c r="BI149" s="1426"/>
      <c r="BJ149" s="1426"/>
      <c r="BK149" s="1426"/>
      <c r="BL149" s="1427"/>
      <c r="BM149" s="1415"/>
      <c r="BN149" s="1193"/>
      <c r="BO149" s="1193"/>
      <c r="BP149" s="1193"/>
    </row>
    <row r="150" spans="1:68" ht="24.95" customHeight="1">
      <c r="A150" s="1385" t="s">
        <v>101</v>
      </c>
      <c r="B150" s="1394"/>
      <c r="C150" s="1387">
        <v>8736.6</v>
      </c>
      <c r="D150" s="1387">
        <v>601.09999999999991</v>
      </c>
      <c r="E150" s="1387">
        <v>3317</v>
      </c>
      <c r="F150" s="1387">
        <v>160.96</v>
      </c>
      <c r="G150" s="1387">
        <v>8142.1</v>
      </c>
      <c r="H150" s="1387">
        <v>1159.27</v>
      </c>
      <c r="I150" s="1387">
        <v>8629.5</v>
      </c>
      <c r="J150" s="1387">
        <v>835</v>
      </c>
      <c r="K150" s="1387">
        <v>12396.802500000013</v>
      </c>
      <c r="L150" s="1387">
        <v>502.43916666666638</v>
      </c>
      <c r="M150" s="1387">
        <v>10327.710000000001</v>
      </c>
      <c r="N150" s="1387">
        <v>938.66300000000001</v>
      </c>
      <c r="O150" s="1387">
        <v>1302.5</v>
      </c>
      <c r="P150" s="1387">
        <v>30.35</v>
      </c>
      <c r="Q150" s="1387">
        <v>15523.01</v>
      </c>
      <c r="R150" s="1387">
        <v>1003.232</v>
      </c>
      <c r="S150" s="1387">
        <v>5367.77</v>
      </c>
      <c r="T150" s="1387">
        <v>125</v>
      </c>
      <c r="U150" s="1387">
        <v>5053.8999999999996</v>
      </c>
      <c r="V150" s="1387">
        <v>992.9</v>
      </c>
      <c r="W150" s="1387">
        <v>8736.6</v>
      </c>
      <c r="X150" s="1387">
        <v>601.09999999999991</v>
      </c>
      <c r="Y150" s="1387">
        <v>2786</v>
      </c>
      <c r="Z150" s="1387">
        <v>269.78999999999996</v>
      </c>
      <c r="AA150" s="1387">
        <v>6992.33</v>
      </c>
      <c r="AB150" s="1387">
        <v>386.15</v>
      </c>
      <c r="AC150" s="1387">
        <v>642</v>
      </c>
      <c r="AD150" s="1387">
        <v>15</v>
      </c>
      <c r="AE150" s="1387">
        <v>1315</v>
      </c>
      <c r="AF150" s="1387">
        <v>92.63</v>
      </c>
      <c r="AG150" s="1387">
        <v>3616.6</v>
      </c>
      <c r="AH150" s="1387">
        <v>132.1</v>
      </c>
      <c r="AI150" s="1387">
        <v>6893.4199999999992</v>
      </c>
      <c r="AJ150" s="1387">
        <v>511.81</v>
      </c>
      <c r="AK150" s="1387">
        <v>13550.08</v>
      </c>
      <c r="AL150" s="1387">
        <v>473.00599999999997</v>
      </c>
      <c r="AM150" s="1387">
        <v>11102</v>
      </c>
      <c r="AN150" s="1387">
        <v>816.16666666666674</v>
      </c>
      <c r="AO150" s="1387">
        <v>134430.92250000002</v>
      </c>
      <c r="AP150" s="1387">
        <v>9646.6668333333328</v>
      </c>
      <c r="AQ150" s="1387">
        <v>8736.6</v>
      </c>
      <c r="AR150" s="1387">
        <v>601.09999999999991</v>
      </c>
      <c r="AS150" s="1102"/>
      <c r="AT150" s="1102"/>
      <c r="AU150" s="1102"/>
      <c r="AV150" s="1102"/>
      <c r="AW150" s="1102"/>
      <c r="AX150" s="1102"/>
      <c r="AY150" s="1102"/>
      <c r="AZ150" s="1102"/>
      <c r="BA150" s="1102"/>
      <c r="BB150" s="1102"/>
      <c r="BC150" s="1102"/>
      <c r="BD150" s="1102"/>
      <c r="BE150" s="1102"/>
      <c r="BF150" s="1102"/>
      <c r="BG150" s="1102"/>
      <c r="BH150" s="1102"/>
      <c r="BI150" s="1102"/>
      <c r="BJ150" s="1102"/>
      <c r="BK150" s="1102"/>
      <c r="BL150" s="1102"/>
      <c r="BM150" s="1102"/>
      <c r="BN150" s="1193"/>
      <c r="BO150" s="1193"/>
      <c r="BP150" s="1193"/>
    </row>
    <row r="151" spans="1:68" ht="20.100000000000001" customHeight="1">
      <c r="A151" s="1385" t="s">
        <v>332</v>
      </c>
      <c r="C151" s="1387">
        <f t="shared" ref="C151:D151" si="40">C150-C149</f>
        <v>0</v>
      </c>
      <c r="D151" s="1387">
        <f t="shared" si="40"/>
        <v>0</v>
      </c>
      <c r="E151" s="1387">
        <f t="shared" ref="E151:AR151" si="41">E150-E149</f>
        <v>0</v>
      </c>
      <c r="F151" s="1387">
        <f t="shared" si="41"/>
        <v>0</v>
      </c>
      <c r="G151" s="1387">
        <f t="shared" ref="G151:N151" si="42">G150-G149</f>
        <v>0</v>
      </c>
      <c r="H151" s="1387">
        <f t="shared" si="42"/>
        <v>0</v>
      </c>
      <c r="I151" s="1387">
        <f t="shared" si="42"/>
        <v>0</v>
      </c>
      <c r="J151" s="1387">
        <f t="shared" si="42"/>
        <v>0</v>
      </c>
      <c r="K151" s="1387">
        <f t="shared" si="42"/>
        <v>0</v>
      </c>
      <c r="L151" s="1387">
        <f t="shared" si="42"/>
        <v>0</v>
      </c>
      <c r="M151" s="1387">
        <f t="shared" si="42"/>
        <v>0</v>
      </c>
      <c r="N151" s="1387">
        <f t="shared" si="42"/>
        <v>0</v>
      </c>
      <c r="O151" s="1387">
        <f t="shared" si="41"/>
        <v>0</v>
      </c>
      <c r="P151" s="1387">
        <f t="shared" si="41"/>
        <v>0</v>
      </c>
      <c r="Q151" s="1387">
        <f t="shared" si="41"/>
        <v>0</v>
      </c>
      <c r="R151" s="1387">
        <f t="shared" si="41"/>
        <v>0</v>
      </c>
      <c r="S151" s="1387">
        <f t="shared" ref="S151:T151" si="43">S150-S149</f>
        <v>0</v>
      </c>
      <c r="T151" s="1387">
        <f t="shared" si="43"/>
        <v>0</v>
      </c>
      <c r="U151" s="1387">
        <f t="shared" si="41"/>
        <v>0</v>
      </c>
      <c r="V151" s="1387">
        <f t="shared" si="41"/>
        <v>0</v>
      </c>
      <c r="W151" s="1387">
        <f t="shared" ref="W151:X151" si="44">W150-W149</f>
        <v>0</v>
      </c>
      <c r="X151" s="1387">
        <f t="shared" si="44"/>
        <v>0</v>
      </c>
      <c r="Y151" s="1387">
        <f t="shared" si="41"/>
        <v>0</v>
      </c>
      <c r="Z151" s="1387">
        <f t="shared" si="41"/>
        <v>0</v>
      </c>
      <c r="AA151" s="1387">
        <f t="shared" ref="AA151:AB151" si="45">AA150-AA149</f>
        <v>0</v>
      </c>
      <c r="AB151" s="1387">
        <f t="shared" si="45"/>
        <v>0</v>
      </c>
      <c r="AC151" s="1387">
        <f t="shared" si="41"/>
        <v>0</v>
      </c>
      <c r="AD151" s="1387">
        <f t="shared" si="41"/>
        <v>0</v>
      </c>
      <c r="AE151" s="1387">
        <f t="shared" ref="AE151:AJ151" si="46">AE150-AE149</f>
        <v>0</v>
      </c>
      <c r="AF151" s="1387">
        <f t="shared" si="46"/>
        <v>0</v>
      </c>
      <c r="AG151" s="1387">
        <f t="shared" si="46"/>
        <v>0</v>
      </c>
      <c r="AH151" s="1387">
        <f t="shared" si="46"/>
        <v>0</v>
      </c>
      <c r="AI151" s="1387">
        <f t="shared" si="46"/>
        <v>0</v>
      </c>
      <c r="AJ151" s="1387">
        <f t="shared" si="46"/>
        <v>0</v>
      </c>
      <c r="AK151" s="1387">
        <f t="shared" si="41"/>
        <v>0</v>
      </c>
      <c r="AL151" s="1387">
        <f t="shared" si="41"/>
        <v>0</v>
      </c>
      <c r="AM151" s="1387">
        <f t="shared" si="41"/>
        <v>0</v>
      </c>
      <c r="AN151" s="1387">
        <f t="shared" si="41"/>
        <v>0</v>
      </c>
      <c r="AO151" s="1387">
        <f t="shared" si="41"/>
        <v>0</v>
      </c>
      <c r="AP151" s="1387">
        <f t="shared" si="41"/>
        <v>0</v>
      </c>
      <c r="AQ151" s="1387">
        <f t="shared" si="41"/>
        <v>0</v>
      </c>
      <c r="AR151" s="1387">
        <f t="shared" si="41"/>
        <v>0</v>
      </c>
      <c r="AS151" s="1102"/>
      <c r="AT151" s="1102"/>
      <c r="AU151" s="1102"/>
      <c r="AV151" s="1102"/>
      <c r="AW151" s="1102"/>
      <c r="AX151" s="1102"/>
      <c r="AY151" s="1102"/>
      <c r="AZ151" s="1102"/>
      <c r="BA151" s="1102"/>
      <c r="BB151" s="1102"/>
      <c r="BC151" s="1102"/>
      <c r="BD151" s="1102"/>
      <c r="BE151" s="1102"/>
      <c r="BF151" s="1102"/>
      <c r="BG151" s="1102"/>
      <c r="BH151" s="1102"/>
      <c r="BI151" s="1102"/>
      <c r="BJ151" s="1102"/>
      <c r="BK151" s="1102"/>
      <c r="BL151" s="1102"/>
      <c r="BM151" s="1102"/>
    </row>
  </sheetData>
  <sheetProtection password="E23E" sheet="1" objects="1" scenarios="1"/>
  <mergeCells count="59">
    <mergeCell ref="C9:O9"/>
    <mergeCell ref="P9:R9"/>
    <mergeCell ref="AS113:BM113"/>
    <mergeCell ref="BB114:BB115"/>
    <mergeCell ref="C113:AR113"/>
    <mergeCell ref="C114:D114"/>
    <mergeCell ref="E114:F114"/>
    <mergeCell ref="G114:H114"/>
    <mergeCell ref="I114:J114"/>
    <mergeCell ref="K114:L114"/>
    <mergeCell ref="AC114:AD114"/>
    <mergeCell ref="AE114:AF114"/>
    <mergeCell ref="AG114:AH114"/>
    <mergeCell ref="AI114:AJ114"/>
    <mergeCell ref="AM114:AN114"/>
    <mergeCell ref="AO114:AP114"/>
    <mergeCell ref="AQ114:AR114"/>
    <mergeCell ref="Y114:Z114"/>
    <mergeCell ref="A39:A40"/>
    <mergeCell ref="C68:AR68"/>
    <mergeCell ref="C69:D69"/>
    <mergeCell ref="E69:F69"/>
    <mergeCell ref="G69:H69"/>
    <mergeCell ref="I69:J69"/>
    <mergeCell ref="K69:L69"/>
    <mergeCell ref="AM69:AN69"/>
    <mergeCell ref="AO69:AP69"/>
    <mergeCell ref="AQ69:AR69"/>
    <mergeCell ref="AA69:AB69"/>
    <mergeCell ref="AC69:AD69"/>
    <mergeCell ref="AK69:AL69"/>
    <mergeCell ref="Y69:Z69"/>
    <mergeCell ref="M114:N114"/>
    <mergeCell ref="AK114:AL114"/>
    <mergeCell ref="AI69:AJ69"/>
    <mergeCell ref="AE69:AF69"/>
    <mergeCell ref="AG69:AH69"/>
    <mergeCell ref="U69:V69"/>
    <mergeCell ref="W69:X69"/>
    <mergeCell ref="M69:N69"/>
    <mergeCell ref="O114:P114"/>
    <mergeCell ref="Q114:R114"/>
    <mergeCell ref="S114:T114"/>
    <mergeCell ref="U114:V114"/>
    <mergeCell ref="W114:X114"/>
    <mergeCell ref="AA114:AB114"/>
    <mergeCell ref="S69:T69"/>
    <mergeCell ref="BB69:BB70"/>
    <mergeCell ref="AS68:BM68"/>
    <mergeCell ref="I37:K37"/>
    <mergeCell ref="C37:F37"/>
    <mergeCell ref="G37:H37"/>
    <mergeCell ref="O69:P69"/>
    <mergeCell ref="Q69:R69"/>
    <mergeCell ref="AI37:AM37"/>
    <mergeCell ref="AN37:AN38"/>
    <mergeCell ref="O37:Z37"/>
    <mergeCell ref="L37:N37"/>
    <mergeCell ref="AA37:AH37"/>
  </mergeCells>
  <dataValidations count="1">
    <dataValidation allowBlank="1" sqref="AO105:AP106 BL148:BL151 BM98:BM106 B118:B148 AQ76:AR86 AQ73:AR74 AQ88:BK96 C88:AN96 BM88:BM96 BH37:BJ37 T5:V29 BM142 AS144:BK150 AS142:BK142 B73:B103 W4:W28 C73:AN74 BM73:BM86 A4 B5:B8 J10:O10 F10 Q10:Q30 P9:P30 G10:I30 D8:H8 C8:C30 C4:C6 D7 F7 H7 J7 L7 N7 S5:S10 D5 AQ98:BK106 L38:M38 K8:N8 E4:R6 R10 BM137 T30:W30 C76:AN86 C98:AN106 BL103:BL106 AS73:BK86 D10:E30 AO150:AP150 BM144:BM151 AQ118:AR150 AS119:BK132 C118:AN150 C151:BK151 AS137:BK137 BM119:BM132 P8:R8 P7 R7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abSelected="1" zoomScale="80" zoomScaleNormal="80" workbookViewId="0"/>
  </sheetViews>
  <sheetFormatPr defaultColWidth="9.140625" defaultRowHeight="15"/>
  <cols>
    <col min="1" max="1" width="2.7109375" style="1539" customWidth="1"/>
    <col min="2" max="2" width="63.7109375" style="1539" customWidth="1"/>
    <col min="3" max="15" width="13.28515625" style="1539" customWidth="1"/>
    <col min="16" max="16" width="5.7109375" style="1540" customWidth="1"/>
    <col min="17" max="19" width="13.28515625" style="1539" customWidth="1"/>
    <col min="20" max="20" width="5.7109375" style="1539" customWidth="1"/>
    <col min="21" max="21" width="16.7109375" style="1539" customWidth="1"/>
    <col min="22" max="22" width="2.7109375" style="1539" customWidth="1"/>
    <col min="23" max="23" width="6.7109375" style="1539" customWidth="1"/>
    <col min="24" max="31" width="13.7109375" style="1539" customWidth="1"/>
    <col min="32" max="33" width="6.7109375" style="1539" customWidth="1"/>
    <col min="34" max="41" width="13.7109375" style="1539" customWidth="1"/>
    <col min="42" max="43" width="9.140625" style="1539"/>
    <col min="44" max="44" width="14.7109375" style="1539" hidden="1" customWidth="1"/>
    <col min="45" max="16384" width="9.140625" style="1539"/>
  </cols>
  <sheetData>
    <row r="1" spans="1:44" s="1541" customFormat="1" ht="24.95" customHeight="1">
      <c r="A1" s="1440"/>
      <c r="B1" s="1441" t="s">
        <v>341</v>
      </c>
      <c r="C1" s="1442"/>
      <c r="D1" s="1443"/>
      <c r="E1" s="1442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5"/>
      <c r="Q1" s="1444"/>
      <c r="R1" s="1444"/>
      <c r="S1" s="1444"/>
      <c r="T1" s="1444"/>
      <c r="U1" s="1446"/>
      <c r="V1" s="1447"/>
      <c r="W1" s="1448"/>
      <c r="X1" s="1449"/>
      <c r="Y1" s="1106"/>
      <c r="Z1" s="1106"/>
      <c r="AA1" s="1106"/>
      <c r="AB1" s="1449"/>
      <c r="AC1" s="1114"/>
      <c r="AD1" s="1114"/>
      <c r="AE1" s="1114"/>
      <c r="AF1" s="1450"/>
      <c r="AG1" s="1428"/>
      <c r="AH1" s="1428"/>
      <c r="AI1" s="1428"/>
      <c r="AJ1" s="1428"/>
      <c r="AK1" s="1428"/>
      <c r="AL1" s="1428"/>
      <c r="AM1" s="1428"/>
      <c r="AN1" s="1513"/>
      <c r="AO1" s="1428" t="s">
        <v>61</v>
      </c>
      <c r="AP1" s="1451"/>
    </row>
    <row r="2" spans="1:44" s="1541" customFormat="1" ht="15" customHeight="1">
      <c r="A2" s="1452"/>
      <c r="B2" s="746"/>
      <c r="C2" s="198"/>
      <c r="D2" s="199"/>
      <c r="E2" s="200"/>
      <c r="F2" s="200"/>
      <c r="G2" s="199"/>
      <c r="H2" s="200"/>
      <c r="I2" s="200"/>
      <c r="J2" s="200"/>
      <c r="K2" s="200"/>
      <c r="L2" s="200"/>
      <c r="M2" s="200"/>
      <c r="N2" s="200"/>
      <c r="O2" s="200"/>
      <c r="P2" s="201"/>
      <c r="Q2" s="200"/>
      <c r="R2" s="200"/>
      <c r="S2" s="200"/>
      <c r="T2" s="200"/>
      <c r="U2" s="202"/>
      <c r="V2" s="825"/>
      <c r="W2" s="1453"/>
      <c r="X2" s="203"/>
      <c r="Y2" s="204"/>
      <c r="Z2" s="204"/>
      <c r="AA2" s="204"/>
      <c r="AB2" s="205"/>
      <c r="AC2" s="205"/>
      <c r="AD2" s="205"/>
      <c r="AE2" s="205"/>
      <c r="AF2" s="826"/>
      <c r="AG2" s="206"/>
      <c r="AH2" s="206"/>
      <c r="AI2" s="206"/>
      <c r="AJ2" s="206"/>
      <c r="AK2" s="206"/>
      <c r="AL2" s="206"/>
      <c r="AM2" s="206"/>
      <c r="AN2" s="206"/>
      <c r="AO2" s="206"/>
      <c r="AP2" s="1454"/>
    </row>
    <row r="3" spans="1:44" s="1541" customFormat="1" ht="30" customHeight="1">
      <c r="A3" s="1452"/>
      <c r="B3" s="821" t="s">
        <v>0</v>
      </c>
      <c r="C3" s="1755" t="str">
        <f>VLOOKUP('Background Data'!$C$2,Inst_Tables,2,FALSE)</f>
        <v>Glasgow, University of</v>
      </c>
      <c r="D3" s="1756"/>
      <c r="E3" s="1757"/>
      <c r="F3" s="1455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200"/>
      <c r="R3" s="200"/>
      <c r="S3" s="200"/>
      <c r="T3" s="200"/>
      <c r="U3" s="202"/>
      <c r="V3" s="825"/>
      <c r="W3" s="1453"/>
      <c r="X3" s="203"/>
      <c r="Y3" s="203"/>
      <c r="Z3" s="203"/>
      <c r="AA3" s="203"/>
      <c r="AB3" s="203"/>
      <c r="AC3" s="203"/>
      <c r="AD3" s="203"/>
      <c r="AE3" s="203"/>
      <c r="AF3" s="827"/>
      <c r="AG3" s="207"/>
      <c r="AH3" s="207"/>
      <c r="AI3" s="207"/>
      <c r="AJ3" s="207"/>
      <c r="AK3" s="207"/>
      <c r="AL3" s="207"/>
      <c r="AM3" s="207"/>
      <c r="AN3" s="207"/>
      <c r="AO3" s="207"/>
      <c r="AP3" s="1454"/>
    </row>
    <row r="4" spans="1:44" s="1542" customFormat="1" ht="30" customHeight="1">
      <c r="A4" s="1456"/>
      <c r="B4" s="822" t="s">
        <v>345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1"/>
      <c r="Q4" s="202"/>
      <c r="R4" s="202"/>
      <c r="S4" s="202"/>
      <c r="T4" s="202"/>
      <c r="U4" s="202"/>
      <c r="V4" s="828"/>
      <c r="W4" s="1457"/>
      <c r="X4" s="1810" t="s">
        <v>349</v>
      </c>
      <c r="Y4" s="1810"/>
      <c r="Z4" s="1810"/>
      <c r="AA4" s="1810"/>
      <c r="AB4" s="1810"/>
      <c r="AC4" s="1810"/>
      <c r="AD4" s="1810"/>
      <c r="AE4" s="1810"/>
      <c r="AF4" s="829"/>
      <c r="AG4" s="208"/>
      <c r="AH4" s="1789" t="s">
        <v>351</v>
      </c>
      <c r="AI4" s="1789"/>
      <c r="AJ4" s="1789"/>
      <c r="AK4" s="1789"/>
      <c r="AL4" s="1789"/>
      <c r="AM4" s="1789"/>
      <c r="AN4" s="1789"/>
      <c r="AO4" s="208"/>
      <c r="AP4" s="1458"/>
    </row>
    <row r="5" spans="1:44" s="1542" customFormat="1" ht="15" customHeight="1" thickBot="1">
      <c r="A5" s="1456"/>
      <c r="B5" s="823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828"/>
      <c r="W5" s="1457"/>
      <c r="X5" s="209"/>
      <c r="Y5" s="209"/>
      <c r="Z5" s="209"/>
      <c r="AA5" s="209"/>
      <c r="AB5" s="210"/>
      <c r="AC5" s="210"/>
      <c r="AD5" s="210"/>
      <c r="AE5" s="210"/>
      <c r="AF5" s="829"/>
      <c r="AG5" s="208"/>
      <c r="AH5" s="208"/>
      <c r="AI5" s="208"/>
      <c r="AJ5" s="208"/>
      <c r="AK5" s="208"/>
      <c r="AL5" s="208"/>
      <c r="AM5" s="208"/>
      <c r="AN5" s="208"/>
      <c r="AO5" s="208"/>
      <c r="AP5" s="1458"/>
    </row>
    <row r="6" spans="1:44" s="1542" customFormat="1" ht="35.1" customHeight="1" thickBot="1">
      <c r="A6" s="819"/>
      <c r="B6" s="211"/>
      <c r="C6" s="1790" t="s">
        <v>347</v>
      </c>
      <c r="D6" s="1791"/>
      <c r="E6" s="1791"/>
      <c r="F6" s="1791"/>
      <c r="G6" s="1791"/>
      <c r="H6" s="1791"/>
      <c r="I6" s="1791"/>
      <c r="J6" s="1791"/>
      <c r="K6" s="1791"/>
      <c r="L6" s="1791"/>
      <c r="M6" s="1791"/>
      <c r="N6" s="1791"/>
      <c r="O6" s="1792"/>
      <c r="P6" s="212"/>
      <c r="Q6" s="1798" t="s">
        <v>346</v>
      </c>
      <c r="R6" s="1799"/>
      <c r="S6" s="1800"/>
      <c r="T6" s="202"/>
      <c r="U6" s="1764" t="s">
        <v>348</v>
      </c>
      <c r="V6" s="828"/>
      <c r="W6" s="1459"/>
      <c r="X6" s="1762" t="s">
        <v>312</v>
      </c>
      <c r="Y6" s="1763"/>
      <c r="Z6" s="1763"/>
      <c r="AA6" s="1805" t="s">
        <v>350</v>
      </c>
      <c r="AB6" s="1807" t="s">
        <v>203</v>
      </c>
      <c r="AC6" s="1808"/>
      <c r="AD6" s="1808"/>
      <c r="AE6" s="1809"/>
      <c r="AF6" s="830"/>
      <c r="AG6" s="213"/>
      <c r="AH6" s="1777" t="s">
        <v>312</v>
      </c>
      <c r="AI6" s="1778"/>
      <c r="AJ6" s="1778"/>
      <c r="AK6" s="1783" t="s">
        <v>350</v>
      </c>
      <c r="AL6" s="1786" t="s">
        <v>203</v>
      </c>
      <c r="AM6" s="1787"/>
      <c r="AN6" s="1787"/>
      <c r="AO6" s="1788"/>
      <c r="AP6" s="1458"/>
      <c r="AR6" s="1774" t="s">
        <v>363</v>
      </c>
    </row>
    <row r="7" spans="1:44" ht="45" customHeight="1">
      <c r="A7" s="820"/>
      <c r="B7" s="214"/>
      <c r="C7" s="1766" t="s">
        <v>79</v>
      </c>
      <c r="D7" s="1767"/>
      <c r="E7" s="1767"/>
      <c r="F7" s="1767"/>
      <c r="G7" s="1767"/>
      <c r="H7" s="1767"/>
      <c r="I7" s="1768"/>
      <c r="J7" s="1769" t="s">
        <v>80</v>
      </c>
      <c r="K7" s="1770"/>
      <c r="L7" s="1771"/>
      <c r="M7" s="1804" t="s">
        <v>2</v>
      </c>
      <c r="N7" s="1770"/>
      <c r="O7" s="1771"/>
      <c r="P7" s="212"/>
      <c r="Q7" s="1801"/>
      <c r="R7" s="1802"/>
      <c r="S7" s="1803"/>
      <c r="T7" s="215"/>
      <c r="U7" s="1765"/>
      <c r="V7" s="831"/>
      <c r="W7" s="1460"/>
      <c r="X7" s="1758" t="s">
        <v>294</v>
      </c>
      <c r="Y7" s="1760" t="s">
        <v>295</v>
      </c>
      <c r="Z7" s="1461" t="s">
        <v>2</v>
      </c>
      <c r="AA7" s="1806"/>
      <c r="AB7" s="1811" t="s">
        <v>78</v>
      </c>
      <c r="AC7" s="1812"/>
      <c r="AD7" s="1813"/>
      <c r="AE7" s="1814" t="s">
        <v>298</v>
      </c>
      <c r="AF7" s="832"/>
      <c r="AG7" s="216"/>
      <c r="AH7" s="1779" t="s">
        <v>294</v>
      </c>
      <c r="AI7" s="1781" t="s">
        <v>295</v>
      </c>
      <c r="AJ7" s="1496" t="s">
        <v>2</v>
      </c>
      <c r="AK7" s="1784"/>
      <c r="AL7" s="1779" t="s">
        <v>294</v>
      </c>
      <c r="AM7" s="1781" t="s">
        <v>295</v>
      </c>
      <c r="AN7" s="1496" t="s">
        <v>2</v>
      </c>
      <c r="AO7" s="1785" t="s">
        <v>298</v>
      </c>
      <c r="AP7" s="1462"/>
      <c r="AR7" s="1774"/>
    </row>
    <row r="8" spans="1:44" ht="39.950000000000003" customHeight="1">
      <c r="A8" s="820"/>
      <c r="B8" s="217"/>
      <c r="C8" s="1793" t="s">
        <v>81</v>
      </c>
      <c r="D8" s="1794"/>
      <c r="E8" s="1794"/>
      <c r="F8" s="218" t="s">
        <v>1</v>
      </c>
      <c r="G8" s="1795" t="s">
        <v>2</v>
      </c>
      <c r="H8" s="1796"/>
      <c r="I8" s="1797"/>
      <c r="J8" s="1775" t="s">
        <v>81</v>
      </c>
      <c r="K8" s="1463" t="s">
        <v>1</v>
      </c>
      <c r="L8" s="1464" t="s">
        <v>2</v>
      </c>
      <c r="M8" s="1772" t="s">
        <v>66</v>
      </c>
      <c r="N8" s="219" t="s">
        <v>1</v>
      </c>
      <c r="O8" s="401" t="s">
        <v>2</v>
      </c>
      <c r="P8" s="220"/>
      <c r="Q8" s="1773" t="s">
        <v>66</v>
      </c>
      <c r="R8" s="1465" t="s">
        <v>1</v>
      </c>
      <c r="S8" s="1466" t="s">
        <v>2</v>
      </c>
      <c r="T8" s="215"/>
      <c r="U8" s="1765"/>
      <c r="V8" s="831"/>
      <c r="W8" s="1459"/>
      <c r="X8" s="1759"/>
      <c r="Y8" s="1761"/>
      <c r="Z8" s="1118"/>
      <c r="AA8" s="1806"/>
      <c r="AB8" s="1758" t="s">
        <v>294</v>
      </c>
      <c r="AC8" s="1760" t="s">
        <v>295</v>
      </c>
      <c r="AD8" s="1461" t="s">
        <v>2</v>
      </c>
      <c r="AE8" s="1806"/>
      <c r="AF8" s="830"/>
      <c r="AG8" s="213"/>
      <c r="AH8" s="1780"/>
      <c r="AI8" s="1782"/>
      <c r="AJ8" s="1497"/>
      <c r="AK8" s="1784"/>
      <c r="AL8" s="1780"/>
      <c r="AM8" s="1782"/>
      <c r="AN8" s="1497"/>
      <c r="AO8" s="1784"/>
      <c r="AP8" s="1462"/>
      <c r="AR8" s="1774"/>
    </row>
    <row r="9" spans="1:44" ht="90" customHeight="1">
      <c r="A9" s="820"/>
      <c r="B9" s="221" t="s">
        <v>218</v>
      </c>
      <c r="C9" s="1467" t="s">
        <v>220</v>
      </c>
      <c r="D9" s="1467" t="s">
        <v>82</v>
      </c>
      <c r="E9" s="1468" t="s">
        <v>2</v>
      </c>
      <c r="F9" s="1467" t="s">
        <v>82</v>
      </c>
      <c r="G9" s="1467" t="s">
        <v>220</v>
      </c>
      <c r="H9" s="1467" t="s">
        <v>82</v>
      </c>
      <c r="I9" s="1469" t="s">
        <v>2</v>
      </c>
      <c r="J9" s="1776"/>
      <c r="K9" s="222"/>
      <c r="L9" s="223"/>
      <c r="M9" s="1772"/>
      <c r="N9" s="224"/>
      <c r="O9" s="225"/>
      <c r="P9" s="215"/>
      <c r="Q9" s="1772"/>
      <c r="R9" s="224"/>
      <c r="S9" s="225"/>
      <c r="T9" s="215"/>
      <c r="U9" s="1765"/>
      <c r="V9" s="831"/>
      <c r="W9" s="1470"/>
      <c r="X9" s="1759"/>
      <c r="Y9" s="1761"/>
      <c r="Z9" s="1118"/>
      <c r="AA9" s="1806"/>
      <c r="AB9" s="1759"/>
      <c r="AC9" s="1761"/>
      <c r="AD9" s="1111"/>
      <c r="AE9" s="1806"/>
      <c r="AF9" s="833"/>
      <c r="AG9" s="226"/>
      <c r="AH9" s="1780"/>
      <c r="AI9" s="1782"/>
      <c r="AJ9" s="1497"/>
      <c r="AK9" s="1784"/>
      <c r="AL9" s="1780"/>
      <c r="AM9" s="1782"/>
      <c r="AN9" s="1497"/>
      <c r="AO9" s="1784"/>
      <c r="AP9" s="1462"/>
      <c r="AR9" s="1774"/>
    </row>
    <row r="10" spans="1:44" ht="30" customHeight="1">
      <c r="A10" s="820"/>
      <c r="B10" s="227"/>
      <c r="C10" s="228" t="s">
        <v>18</v>
      </c>
      <c r="D10" s="1471" t="s">
        <v>18</v>
      </c>
      <c r="E10" s="1471" t="s">
        <v>18</v>
      </c>
      <c r="F10" s="229" t="s">
        <v>18</v>
      </c>
      <c r="G10" s="1471" t="s">
        <v>18</v>
      </c>
      <c r="H10" s="1471" t="s">
        <v>18</v>
      </c>
      <c r="I10" s="230" t="s">
        <v>18</v>
      </c>
      <c r="J10" s="228" t="s">
        <v>18</v>
      </c>
      <c r="K10" s="1471" t="s">
        <v>18</v>
      </c>
      <c r="L10" s="230" t="s">
        <v>18</v>
      </c>
      <c r="M10" s="229" t="s">
        <v>18</v>
      </c>
      <c r="N10" s="229" t="s">
        <v>18</v>
      </c>
      <c r="O10" s="230" t="s">
        <v>18</v>
      </c>
      <c r="P10" s="231"/>
      <c r="Q10" s="232" t="s">
        <v>18</v>
      </c>
      <c r="R10" s="229" t="s">
        <v>18</v>
      </c>
      <c r="S10" s="233" t="s">
        <v>18</v>
      </c>
      <c r="T10" s="215"/>
      <c r="U10" s="234" t="s">
        <v>18</v>
      </c>
      <c r="V10" s="831"/>
      <c r="W10" s="1470"/>
      <c r="X10" s="235" t="s">
        <v>18</v>
      </c>
      <c r="Y10" s="236" t="s">
        <v>18</v>
      </c>
      <c r="Z10" s="236" t="s">
        <v>18</v>
      </c>
      <c r="AA10" s="1107" t="s">
        <v>18</v>
      </c>
      <c r="AB10" s="235"/>
      <c r="AC10" s="236"/>
      <c r="AD10" s="1107"/>
      <c r="AE10" s="1113"/>
      <c r="AF10" s="833"/>
      <c r="AG10" s="226"/>
      <c r="AH10" s="237" t="s">
        <v>18</v>
      </c>
      <c r="AI10" s="238" t="s">
        <v>18</v>
      </c>
      <c r="AJ10" s="1429" t="s">
        <v>18</v>
      </c>
      <c r="AK10" s="1511" t="s">
        <v>18</v>
      </c>
      <c r="AL10" s="237"/>
      <c r="AM10" s="238"/>
      <c r="AN10" s="1429"/>
      <c r="AO10" s="332"/>
      <c r="AP10" s="1462"/>
    </row>
    <row r="11" spans="1:44" ht="39.950000000000003" customHeight="1">
      <c r="A11" s="820"/>
      <c r="B11" s="227"/>
      <c r="C11" s="239" t="s">
        <v>31</v>
      </c>
      <c r="D11" s="240" t="s">
        <v>31</v>
      </c>
      <c r="E11" s="1472" t="s">
        <v>94</v>
      </c>
      <c r="F11" s="240" t="s">
        <v>31</v>
      </c>
      <c r="G11" s="1472" t="s">
        <v>56</v>
      </c>
      <c r="H11" s="1472" t="s">
        <v>56</v>
      </c>
      <c r="I11" s="1472" t="s">
        <v>56</v>
      </c>
      <c r="J11" s="241" t="s">
        <v>31</v>
      </c>
      <c r="K11" s="240" t="s">
        <v>31</v>
      </c>
      <c r="L11" s="242" t="s">
        <v>94</v>
      </c>
      <c r="M11" s="243" t="s">
        <v>56</v>
      </c>
      <c r="N11" s="1472" t="s">
        <v>56</v>
      </c>
      <c r="O11" s="242" t="s">
        <v>56</v>
      </c>
      <c r="P11" s="231"/>
      <c r="Q11" s="241" t="s">
        <v>31</v>
      </c>
      <c r="R11" s="240" t="s">
        <v>31</v>
      </c>
      <c r="S11" s="242" t="s">
        <v>56</v>
      </c>
      <c r="T11" s="215"/>
      <c r="U11" s="244" t="s">
        <v>56</v>
      </c>
      <c r="V11" s="831"/>
      <c r="W11" s="1470"/>
      <c r="X11" s="245" t="s">
        <v>57</v>
      </c>
      <c r="Y11" s="246" t="s">
        <v>57</v>
      </c>
      <c r="Z11" s="246" t="s">
        <v>57</v>
      </c>
      <c r="AA11" s="1108" t="s">
        <v>57</v>
      </c>
      <c r="AB11" s="245" t="s">
        <v>57</v>
      </c>
      <c r="AC11" s="246" t="s">
        <v>57</v>
      </c>
      <c r="AD11" s="1112" t="s">
        <v>57</v>
      </c>
      <c r="AE11" s="247" t="s">
        <v>57</v>
      </c>
      <c r="AF11" s="833"/>
      <c r="AG11" s="226"/>
      <c r="AH11" s="248" t="s">
        <v>57</v>
      </c>
      <c r="AI11" s="249" t="s">
        <v>57</v>
      </c>
      <c r="AJ11" s="1498" t="s">
        <v>57</v>
      </c>
      <c r="AK11" s="250" t="s">
        <v>57</v>
      </c>
      <c r="AL11" s="248" t="s">
        <v>57</v>
      </c>
      <c r="AM11" s="249" t="s">
        <v>57</v>
      </c>
      <c r="AN11" s="1498" t="s">
        <v>57</v>
      </c>
      <c r="AO11" s="250" t="s">
        <v>57</v>
      </c>
      <c r="AP11" s="1462"/>
    </row>
    <row r="12" spans="1:44" ht="30" customHeight="1" thickBot="1">
      <c r="A12" s="820"/>
      <c r="B12" s="227"/>
      <c r="C12" s="1129">
        <v>1</v>
      </c>
      <c r="D12" s="1130">
        <v>2</v>
      </c>
      <c r="E12" s="1131">
        <v>3</v>
      </c>
      <c r="F12" s="1130">
        <v>4</v>
      </c>
      <c r="G12" s="1130">
        <v>5</v>
      </c>
      <c r="H12" s="1130">
        <v>6</v>
      </c>
      <c r="I12" s="1131">
        <v>7</v>
      </c>
      <c r="J12" s="1132">
        <v>8</v>
      </c>
      <c r="K12" s="1130">
        <v>9</v>
      </c>
      <c r="L12" s="1133">
        <v>10</v>
      </c>
      <c r="M12" s="1130">
        <v>11</v>
      </c>
      <c r="N12" s="1130">
        <v>12</v>
      </c>
      <c r="O12" s="1133">
        <v>13</v>
      </c>
      <c r="P12" s="231"/>
      <c r="Q12" s="1132">
        <v>14</v>
      </c>
      <c r="R12" s="1130">
        <v>15</v>
      </c>
      <c r="S12" s="1133">
        <v>16</v>
      </c>
      <c r="T12" s="215"/>
      <c r="U12" s="1134">
        <v>17</v>
      </c>
      <c r="V12" s="831"/>
      <c r="W12" s="1470"/>
      <c r="X12" s="1432">
        <v>18</v>
      </c>
      <c r="Y12" s="1433">
        <v>19</v>
      </c>
      <c r="Z12" s="1433">
        <v>20</v>
      </c>
      <c r="AA12" s="1434">
        <v>21</v>
      </c>
      <c r="AB12" s="1435">
        <v>22</v>
      </c>
      <c r="AC12" s="1433">
        <v>23</v>
      </c>
      <c r="AD12" s="1433">
        <v>24</v>
      </c>
      <c r="AE12" s="1436">
        <v>25</v>
      </c>
      <c r="AF12" s="833"/>
      <c r="AG12" s="226"/>
      <c r="AH12" s="1437">
        <v>26</v>
      </c>
      <c r="AI12" s="1438">
        <v>27</v>
      </c>
      <c r="AJ12" s="1439">
        <v>28</v>
      </c>
      <c r="AK12" s="1502">
        <v>29</v>
      </c>
      <c r="AL12" s="1437">
        <v>30</v>
      </c>
      <c r="AM12" s="1438">
        <v>31</v>
      </c>
      <c r="AN12" s="1439">
        <v>32</v>
      </c>
      <c r="AO12" s="1502">
        <v>33</v>
      </c>
      <c r="AP12" s="1462"/>
    </row>
    <row r="13" spans="1:44" ht="35.1" customHeight="1" thickBot="1">
      <c r="A13" s="820"/>
      <c r="B13" s="251" t="s">
        <v>12</v>
      </c>
      <c r="C13" s="252"/>
      <c r="D13" s="253"/>
      <c r="E13" s="254">
        <v>1220</v>
      </c>
      <c r="F13" s="255" t="s">
        <v>471</v>
      </c>
      <c r="G13" s="256"/>
      <c r="H13" s="256"/>
      <c r="I13" s="257">
        <f>SUM(E13,F13)</f>
        <v>1220</v>
      </c>
      <c r="J13" s="258">
        <v>187.07</v>
      </c>
      <c r="K13" s="259">
        <v>27.4</v>
      </c>
      <c r="L13" s="260">
        <f>SUM(J13:K13)</f>
        <v>214.47</v>
      </c>
      <c r="M13" s="261">
        <f>E13+J13</f>
        <v>1407.07</v>
      </c>
      <c r="N13" s="262">
        <f>SUM(F13,K13)</f>
        <v>27.4</v>
      </c>
      <c r="O13" s="307">
        <f>SUM(M13:N13)</f>
        <v>1434.47</v>
      </c>
      <c r="P13" s="215"/>
      <c r="Q13" s="264"/>
      <c r="R13" s="265"/>
      <c r="S13" s="266"/>
      <c r="T13" s="215"/>
      <c r="U13" s="267"/>
      <c r="V13" s="831"/>
      <c r="W13" s="1470"/>
      <c r="X13" s="268">
        <f>VLOOKUP($AR13,Early_Stats_Last_Year,VLOOKUP('Background Data'!$C$2,Inst_Tables,16,FALSE),FALSE)</f>
        <v>1211</v>
      </c>
      <c r="Y13" s="269">
        <f>VLOOKUP($AR13,Early_Stats_Last_Year,VLOOKUP('Background Data'!$C$2,Inst_Tables,17,FALSE),FALSE)</f>
        <v>193.47</v>
      </c>
      <c r="Z13" s="392">
        <f>SUM(X13:Y13)</f>
        <v>1404.47</v>
      </c>
      <c r="AA13" s="1124"/>
      <c r="AB13" s="1125">
        <f>IF(X13&gt;0,(I13-X13)/X13,"")</f>
        <v>7.4318744838976049E-3</v>
      </c>
      <c r="AC13" s="1126">
        <f>IF(Y13&gt;0,(L13-Y13)/Y13,"")</f>
        <v>0.10854396030392309</v>
      </c>
      <c r="AD13" s="1127">
        <f>IF(Z13&gt;0,(O13-Z13)/Z13,"")</f>
        <v>2.1360370816037366E-2</v>
      </c>
      <c r="AE13" s="1128"/>
      <c r="AF13" s="833"/>
      <c r="AG13" s="226"/>
      <c r="AH13" s="270">
        <f>VLOOKUP($AR13,Final_Figures_Last_Year,VLOOKUP('Background Data'!$C$2,Inst_Tables,16,FALSE),FALSE)</f>
        <v>1184</v>
      </c>
      <c r="AI13" s="271">
        <f>VLOOKUP($AR13,Final_Figures_Last_Year,VLOOKUP('Background Data'!$C$2,Inst_Tables,17,FALSE),FALSE)</f>
        <v>202.2</v>
      </c>
      <c r="AJ13" s="1503">
        <f>SUM(AH13:AI13)</f>
        <v>1386.2</v>
      </c>
      <c r="AK13" s="272"/>
      <c r="AL13" s="1514">
        <f>IF(AH13&gt;0,(I13-AH13)/AH13,"")</f>
        <v>3.0405405405405407E-2</v>
      </c>
      <c r="AM13" s="1515">
        <f>IF(AI13&gt;0,(L13-AI13)/AI13,"")</f>
        <v>6.068249258160243E-2</v>
      </c>
      <c r="AN13" s="1516">
        <f>IF(AJ13&gt;0,(O13-AJ13)/AJ13,"")</f>
        <v>3.4821815033905627E-2</v>
      </c>
      <c r="AO13" s="1517"/>
      <c r="AP13" s="1462"/>
      <c r="AR13" s="1543">
        <v>1</v>
      </c>
    </row>
    <row r="14" spans="1:44" ht="35.1" customHeight="1">
      <c r="A14" s="820"/>
      <c r="B14" s="273" t="s">
        <v>9</v>
      </c>
      <c r="C14" s="274"/>
      <c r="D14" s="275"/>
      <c r="E14" s="276"/>
      <c r="F14" s="275"/>
      <c r="G14" s="265"/>
      <c r="H14" s="265"/>
      <c r="I14" s="277"/>
      <c r="J14" s="274"/>
      <c r="K14" s="275"/>
      <c r="L14" s="277"/>
      <c r="M14" s="265"/>
      <c r="N14" s="265"/>
      <c r="O14" s="277"/>
      <c r="P14" s="215"/>
      <c r="Q14" s="264"/>
      <c r="R14" s="265"/>
      <c r="S14" s="266"/>
      <c r="T14" s="215"/>
      <c r="U14" s="278"/>
      <c r="V14" s="831"/>
      <c r="W14" s="1470"/>
      <c r="X14" s="294"/>
      <c r="Y14" s="295"/>
      <c r="Z14" s="295"/>
      <c r="AA14" s="297"/>
      <c r="AB14" s="296"/>
      <c r="AC14" s="295"/>
      <c r="AD14" s="395"/>
      <c r="AE14" s="331"/>
      <c r="AF14" s="833"/>
      <c r="AG14" s="226"/>
      <c r="AH14" s="298"/>
      <c r="AI14" s="299"/>
      <c r="AJ14" s="1508"/>
      <c r="AK14" s="1518"/>
      <c r="AL14" s="300"/>
      <c r="AM14" s="299"/>
      <c r="AN14" s="226"/>
      <c r="AO14" s="332"/>
      <c r="AP14" s="1462"/>
      <c r="AR14" s="1544"/>
    </row>
    <row r="15" spans="1:44" ht="30" customHeight="1">
      <c r="A15" s="820"/>
      <c r="B15" s="286" t="s">
        <v>83</v>
      </c>
      <c r="C15" s="287"/>
      <c r="D15" s="288"/>
      <c r="E15" s="289"/>
      <c r="F15" s="288"/>
      <c r="G15" s="290"/>
      <c r="H15" s="290"/>
      <c r="I15" s="291"/>
      <c r="J15" s="287"/>
      <c r="K15" s="288"/>
      <c r="L15" s="291"/>
      <c r="M15" s="290"/>
      <c r="N15" s="290"/>
      <c r="O15" s="291"/>
      <c r="P15" s="215"/>
      <c r="Q15" s="292"/>
      <c r="R15" s="224"/>
      <c r="S15" s="293"/>
      <c r="T15" s="215"/>
      <c r="U15" s="267"/>
      <c r="V15" s="831"/>
      <c r="W15" s="1470"/>
      <c r="X15" s="294"/>
      <c r="Y15" s="295"/>
      <c r="Z15" s="378"/>
      <c r="AA15" s="297"/>
      <c r="AB15" s="296"/>
      <c r="AC15" s="295"/>
      <c r="AD15" s="395"/>
      <c r="AE15" s="331"/>
      <c r="AF15" s="833"/>
      <c r="AG15" s="226"/>
      <c r="AH15" s="298"/>
      <c r="AI15" s="299"/>
      <c r="AJ15" s="1505"/>
      <c r="AK15" s="1519"/>
      <c r="AL15" s="300"/>
      <c r="AM15" s="299"/>
      <c r="AN15" s="226"/>
      <c r="AO15" s="332"/>
      <c r="AP15" s="1462"/>
      <c r="AR15" s="1544"/>
    </row>
    <row r="16" spans="1:44" ht="30" customHeight="1">
      <c r="A16" s="820"/>
      <c r="B16" s="301" t="s">
        <v>158</v>
      </c>
      <c r="C16" s="302"/>
      <c r="D16" s="303"/>
      <c r="E16" s="304">
        <f>D16</f>
        <v>0</v>
      </c>
      <c r="F16" s="303"/>
      <c r="G16" s="262"/>
      <c r="H16" s="262">
        <f>SUM(D16,F16)</f>
        <v>0</v>
      </c>
      <c r="I16" s="304">
        <f>SUM(G16:H16)</f>
        <v>0</v>
      </c>
      <c r="J16" s="305"/>
      <c r="K16" s="303"/>
      <c r="L16" s="1473">
        <f>SUM(J16:K16)</f>
        <v>0</v>
      </c>
      <c r="M16" s="306">
        <f>SUM(E16,J16)</f>
        <v>0</v>
      </c>
      <c r="N16" s="262">
        <f>SUM(F16,K16)</f>
        <v>0</v>
      </c>
      <c r="O16" s="307">
        <f>SUM(M16:N16)</f>
        <v>0</v>
      </c>
      <c r="P16" s="215"/>
      <c r="Q16" s="308"/>
      <c r="R16" s="309"/>
      <c r="S16" s="293"/>
      <c r="T16" s="215"/>
      <c r="U16" s="338">
        <f>O16</f>
        <v>0</v>
      </c>
      <c r="V16" s="831"/>
      <c r="W16" s="1470"/>
      <c r="X16" s="310">
        <f>VLOOKUP($AR16,Early_Stats_Last_Year,VLOOKUP('Background Data'!$C$2,Inst_Tables,16,FALSE),FALSE)</f>
        <v>0</v>
      </c>
      <c r="Y16" s="311">
        <f>VLOOKUP($AR16,Early_Stats_Last_Year,VLOOKUP('Background Data'!$C$2,Inst_Tables,17,FALSE),FALSE)</f>
        <v>0</v>
      </c>
      <c r="Z16" s="1474">
        <f>SUM(X16:Y16)</f>
        <v>0</v>
      </c>
      <c r="AA16" s="1142"/>
      <c r="AB16" s="312" t="str">
        <f>IF(X16&gt;0,(I16-X16)/X16,"")</f>
        <v/>
      </c>
      <c r="AC16" s="313" t="str">
        <f>IF(Y16&gt;0,(L16-Y16)/Y16,"")</f>
        <v/>
      </c>
      <c r="AD16" s="1119" t="str">
        <f>IF(Z16&gt;0,(O16-Z16)/Z16,"")</f>
        <v/>
      </c>
      <c r="AE16" s="1121"/>
      <c r="AF16" s="833"/>
      <c r="AG16" s="226"/>
      <c r="AH16" s="314">
        <f>VLOOKUP($AR16,Final_Figures_Last_Year,VLOOKUP('Background Data'!$C$2,Inst_Tables,16,FALSE),FALSE)</f>
        <v>0</v>
      </c>
      <c r="AI16" s="315">
        <f>VLOOKUP($AR16,Final_Figures_Last_Year,VLOOKUP('Background Data'!$C$2,Inst_Tables,17,FALSE),FALSE)</f>
        <v>0</v>
      </c>
      <c r="AJ16" s="1506">
        <f>SUM(AH16:AI16)</f>
        <v>0</v>
      </c>
      <c r="AK16" s="1519"/>
      <c r="AL16" s="1475" t="str">
        <f>IF(AH16&gt;0,(I16-AH16)/AH16,"")</f>
        <v/>
      </c>
      <c r="AM16" s="316" t="str">
        <f>IF(AI16&gt;0,(L16-AI16)/AI16,"")</f>
        <v/>
      </c>
      <c r="AN16" s="1475" t="str">
        <f>IF(AJ16&gt;0,(O16-AJ16)/AJ16,"")</f>
        <v/>
      </c>
      <c r="AO16" s="332"/>
      <c r="AP16" s="1462"/>
      <c r="AR16" s="1543">
        <v>2</v>
      </c>
    </row>
    <row r="17" spans="1:44" ht="30" customHeight="1">
      <c r="A17" s="820"/>
      <c r="B17" s="286" t="s">
        <v>85</v>
      </c>
      <c r="C17" s="305"/>
      <c r="D17" s="303">
        <v>1070</v>
      </c>
      <c r="E17" s="304">
        <f>SUM(C17:D17)</f>
        <v>1070</v>
      </c>
      <c r="F17" s="303">
        <v>3</v>
      </c>
      <c r="G17" s="262">
        <f>C17</f>
        <v>0</v>
      </c>
      <c r="H17" s="262">
        <f>SUM(D17,F17)</f>
        <v>1073</v>
      </c>
      <c r="I17" s="304">
        <f>SUM(G17:H17)</f>
        <v>1073</v>
      </c>
      <c r="J17" s="305">
        <v>280.89</v>
      </c>
      <c r="K17" s="303">
        <v>39.299999999999997</v>
      </c>
      <c r="L17" s="1473">
        <f>SUM(J17:K17)</f>
        <v>320.19</v>
      </c>
      <c r="M17" s="306">
        <f>SUM(E17,J17)</f>
        <v>1350.8899999999999</v>
      </c>
      <c r="N17" s="262">
        <f>SUM(F17,K17)</f>
        <v>42.3</v>
      </c>
      <c r="O17" s="307">
        <f>SUM(M17:N17)</f>
        <v>1393.1899999999998</v>
      </c>
      <c r="P17" s="215"/>
      <c r="Q17" s="292"/>
      <c r="R17" s="224"/>
      <c r="S17" s="293"/>
      <c r="T17" s="215"/>
      <c r="U17" s="267"/>
      <c r="V17" s="831"/>
      <c r="W17" s="1470"/>
      <c r="X17" s="310">
        <f>VLOOKUP($AR17,Early_Stats_Last_Year,VLOOKUP('Background Data'!$C$2,Inst_Tables,16,FALSE),FALSE)</f>
        <v>933.6</v>
      </c>
      <c r="Y17" s="311">
        <f>VLOOKUP($AR17,Early_Stats_Last_Year,VLOOKUP('Background Data'!$C$2,Inst_Tables,17,FALSE),FALSE)</f>
        <v>241.68</v>
      </c>
      <c r="Z17" s="1474">
        <f>SUM(X17:Y17)</f>
        <v>1175.28</v>
      </c>
      <c r="AA17" s="1142"/>
      <c r="AB17" s="312">
        <f>IF(X17&gt;0,(I17-X17)/X17,"")</f>
        <v>0.14931448157669236</v>
      </c>
      <c r="AC17" s="313">
        <f>IF(Y17&gt;0,(L17-Y17)/Y17,"")</f>
        <v>0.32485104270109233</v>
      </c>
      <c r="AD17" s="1119">
        <f>IF(Z17&gt;0,(O17-Z17)/Z17,"")</f>
        <v>0.18541113606970241</v>
      </c>
      <c r="AE17" s="1121"/>
      <c r="AF17" s="833"/>
      <c r="AG17" s="226"/>
      <c r="AH17" s="458">
        <f>VLOOKUP($AR17,Final_Figures_Last_Year,VLOOKUP('Background Data'!$C$2,Inst_Tables,16,FALSE),FALSE)</f>
        <v>892</v>
      </c>
      <c r="AI17" s="315">
        <f>VLOOKUP($AR17,Final_Figures_Last_Year,VLOOKUP('Background Data'!$C$2,Inst_Tables,17,FALSE),FALSE)</f>
        <v>279.16000000000003</v>
      </c>
      <c r="AJ17" s="1506">
        <f>SUM(AH17:AI17)</f>
        <v>1171.1600000000001</v>
      </c>
      <c r="AK17" s="1519"/>
      <c r="AL17" s="1476">
        <f>IF(AH17&gt;0,(I17-AH17)/AH17,"")</f>
        <v>0.20291479820627803</v>
      </c>
      <c r="AM17" s="316">
        <f>IF(AI17&gt;0,(L17-AI17)/AI17,"")</f>
        <v>0.14697664421836928</v>
      </c>
      <c r="AN17" s="1499">
        <f>IF(AJ17&gt;0,(O17-AJ17)/AJ17,"")</f>
        <v>0.18958126985211221</v>
      </c>
      <c r="AO17" s="332"/>
      <c r="AP17" s="1462"/>
      <c r="AR17" s="1543">
        <v>3</v>
      </c>
    </row>
    <row r="18" spans="1:44" ht="30" customHeight="1">
      <c r="A18" s="820"/>
      <c r="B18" s="400" t="s">
        <v>221</v>
      </c>
      <c r="C18" s="359"/>
      <c r="D18" s="1477"/>
      <c r="E18" s="1478"/>
      <c r="F18" s="1477"/>
      <c r="G18" s="1479"/>
      <c r="H18" s="1480"/>
      <c r="I18" s="1481"/>
      <c r="J18" s="302"/>
      <c r="K18" s="402"/>
      <c r="L18" s="403"/>
      <c r="M18" s="1482"/>
      <c r="N18" s="1479"/>
      <c r="O18" s="1483">
        <v>43</v>
      </c>
      <c r="P18" s="215"/>
      <c r="Q18" s="292"/>
      <c r="R18" s="224"/>
      <c r="S18" s="293"/>
      <c r="T18" s="215"/>
      <c r="U18" s="267"/>
      <c r="V18" s="831"/>
      <c r="W18" s="1470"/>
      <c r="X18" s="453"/>
      <c r="Y18" s="454"/>
      <c r="Z18" s="311">
        <f>VLOOKUP($AR18,Early_Stats_Last_Year,VLOOKUP('Background Data'!$C$2,Inst_Tables,18,FALSE),FALSE)</f>
        <v>33</v>
      </c>
      <c r="AA18" s="1142"/>
      <c r="AB18" s="455"/>
      <c r="AC18" s="456"/>
      <c r="AD18" s="1119">
        <f>IF(Z18&gt;0,(O18-Z18)/Z18,"")</f>
        <v>0.30303030303030304</v>
      </c>
      <c r="AE18" s="1121"/>
      <c r="AF18" s="833"/>
      <c r="AG18" s="226"/>
      <c r="AH18" s="458"/>
      <c r="AI18" s="315"/>
      <c r="AJ18" s="1521">
        <f>VLOOKUP($AR18,Final_Figures_Last_Year,VLOOKUP('Background Data'!$C$2,Inst_Tables,18,FALSE),FALSE)</f>
        <v>44</v>
      </c>
      <c r="AK18" s="1519"/>
      <c r="AL18" s="1476"/>
      <c r="AM18" s="316"/>
      <c r="AN18" s="1499">
        <f>IF(AJ18&gt;0,(O18-AJ18)/AJ18,"")</f>
        <v>-2.2727272727272728E-2</v>
      </c>
      <c r="AO18" s="332"/>
      <c r="AP18" s="1462"/>
      <c r="AR18" s="1543">
        <v>3</v>
      </c>
    </row>
    <row r="19" spans="1:44" ht="35.1" customHeight="1" thickBot="1">
      <c r="A19" s="820"/>
      <c r="B19" s="317" t="s">
        <v>2</v>
      </c>
      <c r="C19" s="318">
        <f>C17</f>
        <v>0</v>
      </c>
      <c r="D19" s="319">
        <f>SUM(D16:D17)</f>
        <v>1070</v>
      </c>
      <c r="E19" s="1484">
        <f>SUM(E16:E17)</f>
        <v>1070</v>
      </c>
      <c r="F19" s="319">
        <f>SUM(F16:F17)</f>
        <v>3</v>
      </c>
      <c r="G19" s="319">
        <f>G17</f>
        <v>0</v>
      </c>
      <c r="H19" s="1484">
        <f t="shared" ref="H19:O19" si="0">SUM(H16:H17)</f>
        <v>1073</v>
      </c>
      <c r="I19" s="320">
        <f t="shared" si="0"/>
        <v>1073</v>
      </c>
      <c r="J19" s="319">
        <f t="shared" si="0"/>
        <v>280.89</v>
      </c>
      <c r="K19" s="319">
        <f t="shared" si="0"/>
        <v>39.299999999999997</v>
      </c>
      <c r="L19" s="320">
        <f t="shared" si="0"/>
        <v>320.19</v>
      </c>
      <c r="M19" s="319">
        <f t="shared" si="0"/>
        <v>1350.8899999999999</v>
      </c>
      <c r="N19" s="319">
        <f t="shared" si="0"/>
        <v>42.3</v>
      </c>
      <c r="O19" s="320">
        <f t="shared" si="0"/>
        <v>1393.1899999999998</v>
      </c>
      <c r="P19" s="215"/>
      <c r="Q19" s="322"/>
      <c r="R19" s="323"/>
      <c r="S19" s="324"/>
      <c r="T19" s="215"/>
      <c r="U19" s="325"/>
      <c r="V19" s="831"/>
      <c r="W19" s="1470"/>
      <c r="X19" s="342">
        <f>SUM(X16:X17)</f>
        <v>933.6</v>
      </c>
      <c r="Y19" s="343">
        <f>SUM(Y16:Y17)</f>
        <v>241.68</v>
      </c>
      <c r="Z19" s="343">
        <f>SUM(Z16:Z17)</f>
        <v>1175.28</v>
      </c>
      <c r="AA19" s="1143"/>
      <c r="AB19" s="327">
        <f>IF(X19&gt;0,(I19-X19)/X19,"")</f>
        <v>0.14931448157669236</v>
      </c>
      <c r="AC19" s="328">
        <f>IF(Y19&gt;0,(L19-Y19)/Y19,"")</f>
        <v>0.32485104270109233</v>
      </c>
      <c r="AD19" s="1120">
        <f>IF(Z19&gt;0,(O19-Z19)/Z19,"")</f>
        <v>0.18541113606970241</v>
      </c>
      <c r="AE19" s="1122"/>
      <c r="AF19" s="833"/>
      <c r="AG19" s="226"/>
      <c r="AH19" s="346">
        <f>SUM(AH16:AH17)</f>
        <v>892</v>
      </c>
      <c r="AI19" s="347">
        <f>SUM(AI16:AI17)</f>
        <v>279.16000000000003</v>
      </c>
      <c r="AJ19" s="1507">
        <f>SUM(AJ16:AJ17)</f>
        <v>1171.1600000000001</v>
      </c>
      <c r="AK19" s="1520"/>
      <c r="AL19" s="460">
        <f>IF(AH19&gt;0,(I19-AH19)/AH19,"")</f>
        <v>0.20291479820627803</v>
      </c>
      <c r="AM19" s="330">
        <f>IF(AI19&gt;0,(L19-AI19)/AI19,"")</f>
        <v>0.14697664421836928</v>
      </c>
      <c r="AN19" s="460">
        <f>IF(AJ19&gt;0,(O19-AJ19)/AJ19,"")</f>
        <v>0.18958126985211221</v>
      </c>
      <c r="AO19" s="332"/>
      <c r="AP19" s="1462"/>
      <c r="AR19" s="1544"/>
    </row>
    <row r="20" spans="1:44" ht="35.1" customHeight="1">
      <c r="A20" s="820"/>
      <c r="B20" s="273" t="s">
        <v>10</v>
      </c>
      <c r="C20" s="274"/>
      <c r="D20" s="275"/>
      <c r="E20" s="276"/>
      <c r="F20" s="275"/>
      <c r="G20" s="265"/>
      <c r="H20" s="265"/>
      <c r="I20" s="277"/>
      <c r="J20" s="274"/>
      <c r="K20" s="275"/>
      <c r="L20" s="277"/>
      <c r="M20" s="224"/>
      <c r="N20" s="224"/>
      <c r="O20" s="225"/>
      <c r="P20" s="215"/>
      <c r="Q20" s="292"/>
      <c r="R20" s="224"/>
      <c r="S20" s="293"/>
      <c r="T20" s="215"/>
      <c r="U20" s="267"/>
      <c r="V20" s="831"/>
      <c r="W20" s="1470"/>
      <c r="X20" s="294"/>
      <c r="Y20" s="295"/>
      <c r="Z20" s="295"/>
      <c r="AA20" s="297"/>
      <c r="AB20" s="296"/>
      <c r="AC20" s="295"/>
      <c r="AD20" s="395"/>
      <c r="AE20" s="331"/>
      <c r="AF20" s="833"/>
      <c r="AG20" s="226"/>
      <c r="AH20" s="298"/>
      <c r="AI20" s="299"/>
      <c r="AJ20" s="1508"/>
      <c r="AK20" s="332"/>
      <c r="AL20" s="226"/>
      <c r="AM20" s="299"/>
      <c r="AN20" s="226"/>
      <c r="AO20" s="332"/>
      <c r="AP20" s="1462"/>
      <c r="AR20" s="1544"/>
    </row>
    <row r="21" spans="1:44" ht="30" customHeight="1">
      <c r="A21" s="820"/>
      <c r="B21" s="286" t="s">
        <v>83</v>
      </c>
      <c r="C21" s="287"/>
      <c r="D21" s="288"/>
      <c r="E21" s="289"/>
      <c r="F21" s="288"/>
      <c r="G21" s="290"/>
      <c r="H21" s="290"/>
      <c r="I21" s="291"/>
      <c r="J21" s="287"/>
      <c r="K21" s="288"/>
      <c r="L21" s="291"/>
      <c r="M21" s="290"/>
      <c r="N21" s="290"/>
      <c r="O21" s="291"/>
      <c r="P21" s="215"/>
      <c r="Q21" s="292"/>
      <c r="R21" s="224"/>
      <c r="S21" s="293"/>
      <c r="T21" s="215"/>
      <c r="U21" s="267"/>
      <c r="V21" s="831"/>
      <c r="W21" s="1470"/>
      <c r="X21" s="294"/>
      <c r="Y21" s="295"/>
      <c r="Z21" s="378"/>
      <c r="AA21" s="297"/>
      <c r="AB21" s="296"/>
      <c r="AC21" s="295"/>
      <c r="AD21" s="395"/>
      <c r="AE21" s="331"/>
      <c r="AF21" s="833"/>
      <c r="AG21" s="226"/>
      <c r="AH21" s="298"/>
      <c r="AI21" s="299"/>
      <c r="AJ21" s="1505"/>
      <c r="AK21" s="332"/>
      <c r="AL21" s="226"/>
      <c r="AM21" s="299"/>
      <c r="AN21" s="226"/>
      <c r="AO21" s="332"/>
      <c r="AP21" s="1462"/>
      <c r="AR21" s="1544"/>
    </row>
    <row r="22" spans="1:44" ht="30" customHeight="1">
      <c r="A22" s="820"/>
      <c r="B22" s="301" t="s">
        <v>86</v>
      </c>
      <c r="C22" s="305"/>
      <c r="D22" s="1485">
        <v>168</v>
      </c>
      <c r="E22" s="304">
        <f>SUM(C22:D22)</f>
        <v>168</v>
      </c>
      <c r="F22" s="303"/>
      <c r="G22" s="262">
        <f t="shared" ref="G22:G24" si="1">C22</f>
        <v>0</v>
      </c>
      <c r="H22" s="262">
        <f>SUM(D22,F22)</f>
        <v>168</v>
      </c>
      <c r="I22" s="333">
        <f>SUM(G22:H22)</f>
        <v>168</v>
      </c>
      <c r="J22" s="305">
        <v>2</v>
      </c>
      <c r="K22" s="303"/>
      <c r="L22" s="334">
        <f>SUM(J22:K22)</f>
        <v>2</v>
      </c>
      <c r="M22" s="306">
        <f>SUM(E22,J22)</f>
        <v>170</v>
      </c>
      <c r="N22" s="262">
        <f>SUM(F22,K22)</f>
        <v>0</v>
      </c>
      <c r="O22" s="307">
        <f>SUM(M22:N22)</f>
        <v>170</v>
      </c>
      <c r="P22" s="215"/>
      <c r="Q22" s="335">
        <v>2</v>
      </c>
      <c r="R22" s="336"/>
      <c r="S22" s="337">
        <f>SUM(Q22:R22)</f>
        <v>2</v>
      </c>
      <c r="T22" s="215"/>
      <c r="U22" s="338">
        <f>SUM(O22,S22)</f>
        <v>172</v>
      </c>
      <c r="V22" s="831"/>
      <c r="W22" s="1470"/>
      <c r="X22" s="310">
        <f>VLOOKUP($AR22,Early_Stats_Last_Year,VLOOKUP('Background Data'!$C$2,Inst_Tables,16,FALSE),FALSE)</f>
        <v>187</v>
      </c>
      <c r="Y22" s="311">
        <f>VLOOKUP($AR22,Early_Stats_Last_Year,VLOOKUP('Background Data'!$C$2,Inst_Tables,17,FALSE),FALSE)</f>
        <v>1</v>
      </c>
      <c r="Z22" s="1474">
        <f>SUM(X22:Y22)</f>
        <v>188</v>
      </c>
      <c r="AA22" s="311">
        <f>VLOOKUP($AR22,Early_Stats_Last_Year,VLOOKUP('Background Data'!$C$2,Inst_Tables,18,FALSE),FALSE)</f>
        <v>4</v>
      </c>
      <c r="AB22" s="312">
        <f>IF(X22&gt;0,(I22-X22)/X22,"")</f>
        <v>-0.10160427807486631</v>
      </c>
      <c r="AC22" s="313">
        <f>IF(Y22&gt;0,(L22-Y22)/Y22,"")</f>
        <v>1</v>
      </c>
      <c r="AD22" s="313">
        <f>IF(Z22&gt;0,(O22-Z22)/Z22,"")</f>
        <v>-9.5744680851063829E-2</v>
      </c>
      <c r="AE22" s="1524">
        <f>IF(AA22&gt;0,(S22-AA22)/AA22,"")</f>
        <v>-0.5</v>
      </c>
      <c r="AF22" s="833"/>
      <c r="AG22" s="226"/>
      <c r="AH22" s="314">
        <f>VLOOKUP($AR22,Final_Figures_Last_Year,VLOOKUP('Background Data'!$C$2,Inst_Tables,16,FALSE),FALSE)</f>
        <v>184</v>
      </c>
      <c r="AI22" s="315">
        <f>VLOOKUP($AR22,Final_Figures_Last_Year,VLOOKUP('Background Data'!$C$2,Inst_Tables,17,FALSE),FALSE)</f>
        <v>2</v>
      </c>
      <c r="AJ22" s="1506">
        <f>SUM(AH22:AI22)</f>
        <v>186</v>
      </c>
      <c r="AK22" s="1522">
        <f>VLOOKUP($AR22,Final_Figures_Last_Year,VLOOKUP('Background Data'!$C$2,Inst_Tables,18,FALSE),FALSE)</f>
        <v>4</v>
      </c>
      <c r="AL22" s="1475">
        <f>IF(AH22&gt;0,(I22-AH22)/AH22,"")</f>
        <v>-8.6956521739130432E-2</v>
      </c>
      <c r="AM22" s="316">
        <f>IF(AI22&gt;0,(L22-AI22)/AI22,"")</f>
        <v>0</v>
      </c>
      <c r="AN22" s="1475">
        <f>IF(AJ22&gt;0,(O22-AJ22)/AJ22,"")</f>
        <v>-8.6021505376344093E-2</v>
      </c>
      <c r="AO22" s="459">
        <f>IF(AK22&gt;0,(S22-AK22)/AK22,"")</f>
        <v>-0.5</v>
      </c>
      <c r="AP22" s="1462"/>
      <c r="AR22" s="1543">
        <v>4</v>
      </c>
    </row>
    <row r="23" spans="1:44" ht="30" customHeight="1">
      <c r="A23" s="820"/>
      <c r="B23" s="301" t="s">
        <v>87</v>
      </c>
      <c r="C23" s="305"/>
      <c r="D23" s="1485">
        <v>193</v>
      </c>
      <c r="E23" s="304">
        <f>SUM(C23:D23)</f>
        <v>193</v>
      </c>
      <c r="F23" s="303">
        <v>1</v>
      </c>
      <c r="G23" s="262">
        <f t="shared" si="1"/>
        <v>0</v>
      </c>
      <c r="H23" s="262">
        <f>SUM(D23,F23)</f>
        <v>194</v>
      </c>
      <c r="I23" s="333">
        <f>SUM(G23:H23)</f>
        <v>194</v>
      </c>
      <c r="J23" s="305">
        <v>0.5</v>
      </c>
      <c r="K23" s="303"/>
      <c r="L23" s="334">
        <f>SUM(J23:K23)</f>
        <v>0.5</v>
      </c>
      <c r="M23" s="306">
        <f>SUM(E23,J23)</f>
        <v>193.5</v>
      </c>
      <c r="N23" s="262">
        <f t="shared" ref="N23:N24" si="2">SUM(F23,K23)</f>
        <v>1</v>
      </c>
      <c r="O23" s="307">
        <f>SUM(M23:N23)</f>
        <v>194.5</v>
      </c>
      <c r="P23" s="215"/>
      <c r="Q23" s="335">
        <v>6</v>
      </c>
      <c r="R23" s="336"/>
      <c r="S23" s="337">
        <f>SUM(Q23:R23)</f>
        <v>6</v>
      </c>
      <c r="T23" s="215"/>
      <c r="U23" s="338">
        <f>SUM(O23,S23)</f>
        <v>200.5</v>
      </c>
      <c r="V23" s="831"/>
      <c r="W23" s="1470"/>
      <c r="X23" s="310">
        <f>VLOOKUP($AR23,Early_Stats_Last_Year,VLOOKUP('Background Data'!$C$2,Inst_Tables,16,FALSE),FALSE)</f>
        <v>161</v>
      </c>
      <c r="Y23" s="311">
        <f>VLOOKUP($AR23,Early_Stats_Last_Year,VLOOKUP('Background Data'!$C$2,Inst_Tables,17,FALSE),FALSE)</f>
        <v>1</v>
      </c>
      <c r="Z23" s="1474">
        <f>SUM(X23:Y23)</f>
        <v>162</v>
      </c>
      <c r="AA23" s="311">
        <f>VLOOKUP($AR23,Early_Stats_Last_Year,VLOOKUP('Background Data'!$C$2,Inst_Tables,18,FALSE),FALSE)</f>
        <v>8</v>
      </c>
      <c r="AB23" s="312">
        <f>IF(X23&gt;0,(I23-X23)/X23,"")</f>
        <v>0.20496894409937888</v>
      </c>
      <c r="AC23" s="313">
        <f>IF(Y23&gt;0,(L23-Y23)/Y23,"")</f>
        <v>-0.5</v>
      </c>
      <c r="AD23" s="313">
        <f>IF(Z23&gt;0,(O23-Z23)/Z23,"")</f>
        <v>0.20061728395061729</v>
      </c>
      <c r="AE23" s="1524">
        <f>IF(AA23&gt;0,(S23-AA23)/AA23,"")</f>
        <v>-0.25</v>
      </c>
      <c r="AF23" s="833"/>
      <c r="AG23" s="226"/>
      <c r="AH23" s="314">
        <f>VLOOKUP($AR23,Final_Figures_Last_Year,VLOOKUP('Background Data'!$C$2,Inst_Tables,16,FALSE),FALSE)</f>
        <v>160</v>
      </c>
      <c r="AI23" s="315">
        <f>VLOOKUP($AR23,Final_Figures_Last_Year,VLOOKUP('Background Data'!$C$2,Inst_Tables,17,FALSE),FALSE)</f>
        <v>1</v>
      </c>
      <c r="AJ23" s="1506">
        <f>SUM(AH23:AI23)</f>
        <v>161</v>
      </c>
      <c r="AK23" s="1522">
        <f>VLOOKUP($AR23,Final_Figures_Last_Year,VLOOKUP('Background Data'!$C$2,Inst_Tables,18,FALSE),FALSE)</f>
        <v>8</v>
      </c>
      <c r="AL23" s="1475">
        <f>IF(AH23&gt;0,(I23-AH23)/AH23,"")</f>
        <v>0.21249999999999999</v>
      </c>
      <c r="AM23" s="316">
        <f>IF(AI23&gt;0,(L23-AI23)/AI23,"")</f>
        <v>-0.5</v>
      </c>
      <c r="AN23" s="1475">
        <f>IF(AJ23&gt;0,(O23-AJ23)/AJ23,"")</f>
        <v>0.20807453416149069</v>
      </c>
      <c r="AO23" s="459">
        <f>IF(AK23&gt;0,(S23-AK23)/AK23,"")</f>
        <v>-0.25</v>
      </c>
      <c r="AP23" s="1462"/>
      <c r="AR23" s="1543">
        <v>5</v>
      </c>
    </row>
    <row r="24" spans="1:44" ht="30" customHeight="1">
      <c r="A24" s="820"/>
      <c r="B24" s="286" t="s">
        <v>85</v>
      </c>
      <c r="C24" s="305"/>
      <c r="D24" s="1485">
        <v>6</v>
      </c>
      <c r="E24" s="304">
        <f>SUM(C24:D24)</f>
        <v>6</v>
      </c>
      <c r="F24" s="303">
        <v>3</v>
      </c>
      <c r="G24" s="262">
        <f t="shared" si="1"/>
        <v>0</v>
      </c>
      <c r="H24" s="262">
        <f>SUM(D24,F24)</f>
        <v>9</v>
      </c>
      <c r="I24" s="333">
        <f>SUM(G24:H24)</f>
        <v>9</v>
      </c>
      <c r="J24" s="305">
        <v>154.46</v>
      </c>
      <c r="K24" s="303">
        <v>72.599999999999994</v>
      </c>
      <c r="L24" s="334">
        <f>SUM(J24:K24)</f>
        <v>227.06</v>
      </c>
      <c r="M24" s="306">
        <f>SUM(E24,J24)</f>
        <v>160.46</v>
      </c>
      <c r="N24" s="262">
        <f t="shared" si="2"/>
        <v>75.599999999999994</v>
      </c>
      <c r="O24" s="307">
        <f>SUM(M24:N24)</f>
        <v>236.06</v>
      </c>
      <c r="P24" s="215"/>
      <c r="Q24" s="292"/>
      <c r="R24" s="224"/>
      <c r="S24" s="293"/>
      <c r="T24" s="215"/>
      <c r="U24" s="267"/>
      <c r="V24" s="831"/>
      <c r="W24" s="1470"/>
      <c r="X24" s="310">
        <f>VLOOKUP($AR24,Early_Stats_Last_Year,VLOOKUP('Background Data'!$C$2,Inst_Tables,16,FALSE),FALSE)</f>
        <v>16.5</v>
      </c>
      <c r="Y24" s="311">
        <f>VLOOKUP($AR24,Early_Stats_Last_Year,VLOOKUP('Background Data'!$C$2,Inst_Tables,17,FALSE),FALSE)</f>
        <v>402.87</v>
      </c>
      <c r="Z24" s="1474">
        <f>SUM(X24:Y24)</f>
        <v>419.37</v>
      </c>
      <c r="AA24" s="1486"/>
      <c r="AB24" s="312">
        <f>IF(X24&gt;0,(I24-X24)/X24,"")</f>
        <v>-0.45454545454545453</v>
      </c>
      <c r="AC24" s="313">
        <f>IF(Y24&gt;0,(L24-Y24)/Y24,"")</f>
        <v>-0.43639387395437734</v>
      </c>
      <c r="AD24" s="1119">
        <f>IF(Z24&gt;0,(O24-Z24)/Z24,"")</f>
        <v>-0.43710804301690631</v>
      </c>
      <c r="AE24" s="1121"/>
      <c r="AF24" s="833"/>
      <c r="AG24" s="226"/>
      <c r="AH24" s="314">
        <f>VLOOKUP($AR24,Final_Figures_Last_Year,VLOOKUP('Background Data'!$C$2,Inst_Tables,16,FALSE),FALSE)</f>
        <v>19</v>
      </c>
      <c r="AI24" s="315">
        <f>VLOOKUP($AR24,Final_Figures_Last_Year,VLOOKUP('Background Data'!$C$2,Inst_Tables,17,FALSE),FALSE)</f>
        <v>410.18</v>
      </c>
      <c r="AJ24" s="1506">
        <f>SUM(AH24:AI24)</f>
        <v>429.18</v>
      </c>
      <c r="AK24" s="1522"/>
      <c r="AL24" s="1475">
        <f>IF(AH24&gt;0,(I24-AH24)/AH24,"")</f>
        <v>-0.52631578947368418</v>
      </c>
      <c r="AM24" s="316">
        <f>IF(AI24&gt;0,(L24-AI24)/AI24,"")</f>
        <v>-0.44643814910527085</v>
      </c>
      <c r="AN24" s="1475">
        <f>IF(AJ24&gt;0,(O24-AJ24)/AJ24,"")</f>
        <v>-0.44997436972831911</v>
      </c>
      <c r="AO24" s="332"/>
      <c r="AP24" s="1462"/>
      <c r="AR24" s="1543">
        <v>6</v>
      </c>
    </row>
    <row r="25" spans="1:44" ht="35.1" customHeight="1" thickBot="1">
      <c r="A25" s="820"/>
      <c r="B25" s="317" t="s">
        <v>2</v>
      </c>
      <c r="C25" s="306">
        <f t="shared" ref="C25:O25" si="3">SUM(C22:C24)</f>
        <v>0</v>
      </c>
      <c r="D25" s="339">
        <f t="shared" si="3"/>
        <v>367</v>
      </c>
      <c r="E25" s="321">
        <f t="shared" si="3"/>
        <v>367</v>
      </c>
      <c r="F25" s="319">
        <f t="shared" si="3"/>
        <v>4</v>
      </c>
      <c r="G25" s="319">
        <f t="shared" si="3"/>
        <v>0</v>
      </c>
      <c r="H25" s="319">
        <f t="shared" si="3"/>
        <v>371</v>
      </c>
      <c r="I25" s="340">
        <f t="shared" si="3"/>
        <v>371</v>
      </c>
      <c r="J25" s="319">
        <f t="shared" si="3"/>
        <v>156.96</v>
      </c>
      <c r="K25" s="319">
        <f t="shared" si="3"/>
        <v>72.599999999999994</v>
      </c>
      <c r="L25" s="321">
        <f t="shared" si="3"/>
        <v>229.56</v>
      </c>
      <c r="M25" s="341">
        <f t="shared" si="3"/>
        <v>523.96</v>
      </c>
      <c r="N25" s="319">
        <f t="shared" si="3"/>
        <v>76.599999999999994</v>
      </c>
      <c r="O25" s="320">
        <f t="shared" si="3"/>
        <v>600.55999999999995</v>
      </c>
      <c r="P25" s="215"/>
      <c r="Q25" s="292"/>
      <c r="R25" s="224"/>
      <c r="S25" s="293"/>
      <c r="T25" s="215"/>
      <c r="U25" s="267"/>
      <c r="V25" s="831"/>
      <c r="W25" s="1470"/>
      <c r="X25" s="342">
        <f>SUM(X22:X24)</f>
        <v>364.5</v>
      </c>
      <c r="Y25" s="343">
        <f>SUM(Y22:Y24)</f>
        <v>404.87</v>
      </c>
      <c r="Z25" s="326">
        <f>SUM(Z22:Z24)</f>
        <v>769.37</v>
      </c>
      <c r="AA25" s="1117"/>
      <c r="AB25" s="344">
        <f>IF(X25&gt;0,(I25-X25)/X25,"")</f>
        <v>1.7832647462277092E-2</v>
      </c>
      <c r="AC25" s="345">
        <f>IF(Y25&gt;0,(L25-Y25)/Y25,"")</f>
        <v>-0.43300318620791861</v>
      </c>
      <c r="AD25" s="1115">
        <f>IF(Z25&gt;0,(O25-Z25)/Z25,"")</f>
        <v>-0.21941328619519873</v>
      </c>
      <c r="AE25" s="1123"/>
      <c r="AF25" s="833"/>
      <c r="AG25" s="226"/>
      <c r="AH25" s="346">
        <f>SUM(AH22:AH24)</f>
        <v>363</v>
      </c>
      <c r="AI25" s="347">
        <f>SUM(AI22:AI24)</f>
        <v>413.18</v>
      </c>
      <c r="AJ25" s="1509">
        <f>SUM(AJ22:AJ24)</f>
        <v>776.18000000000006</v>
      </c>
      <c r="AK25" s="1523"/>
      <c r="AL25" s="1500">
        <f>IF(AH25&gt;0,(I25-AH25)/AH25,"")</f>
        <v>2.2038567493112948E-2</v>
      </c>
      <c r="AM25" s="348">
        <f>IF(AI25&gt;0,(L25-AI25)/AI25,"")</f>
        <v>-0.44440679606950967</v>
      </c>
      <c r="AN25" s="1500">
        <f>IF(AJ25&gt;0,(O25-AJ25)/AJ25,"")</f>
        <v>-0.22626194954778545</v>
      </c>
      <c r="AO25" s="332"/>
      <c r="AP25" s="1462"/>
      <c r="AR25" s="1544"/>
    </row>
    <row r="26" spans="1:44" ht="35.1" customHeight="1">
      <c r="A26" s="820"/>
      <c r="B26" s="349" t="s">
        <v>11</v>
      </c>
      <c r="C26" s="274"/>
      <c r="D26" s="350"/>
      <c r="E26" s="276"/>
      <c r="F26" s="275"/>
      <c r="G26" s="265"/>
      <c r="H26" s="265"/>
      <c r="I26" s="277"/>
      <c r="J26" s="274"/>
      <c r="K26" s="275"/>
      <c r="L26" s="277"/>
      <c r="M26" s="265"/>
      <c r="N26" s="265"/>
      <c r="O26" s="277"/>
      <c r="P26" s="215"/>
      <c r="Q26" s="264"/>
      <c r="R26" s="265"/>
      <c r="S26" s="266"/>
      <c r="T26" s="215"/>
      <c r="U26" s="278"/>
      <c r="V26" s="831"/>
      <c r="W26" s="1470"/>
      <c r="X26" s="279"/>
      <c r="Y26" s="280"/>
      <c r="Z26" s="280"/>
      <c r="AA26" s="282"/>
      <c r="AB26" s="281"/>
      <c r="AC26" s="280"/>
      <c r="AD26" s="1109"/>
      <c r="AE26" s="331"/>
      <c r="AF26" s="833"/>
      <c r="AG26" s="226"/>
      <c r="AH26" s="283"/>
      <c r="AI26" s="284"/>
      <c r="AJ26" s="1504"/>
      <c r="AK26" s="285"/>
      <c r="AL26" s="1430"/>
      <c r="AM26" s="284"/>
      <c r="AN26" s="1430"/>
      <c r="AO26" s="332"/>
      <c r="AP26" s="1462"/>
      <c r="AR26" s="1544"/>
    </row>
    <row r="27" spans="1:44" ht="30" customHeight="1">
      <c r="A27" s="820"/>
      <c r="B27" s="286" t="s">
        <v>83</v>
      </c>
      <c r="C27" s="351"/>
      <c r="D27" s="834"/>
      <c r="E27" s="1487"/>
      <c r="F27" s="309"/>
      <c r="G27" s="224"/>
      <c r="H27" s="224"/>
      <c r="I27" s="225"/>
      <c r="J27" s="351"/>
      <c r="K27" s="309"/>
      <c r="L27" s="225"/>
      <c r="M27" s="224"/>
      <c r="N27" s="224"/>
      <c r="O27" s="225"/>
      <c r="P27" s="215"/>
      <c r="Q27" s="292"/>
      <c r="R27" s="224"/>
      <c r="S27" s="293"/>
      <c r="T27" s="215"/>
      <c r="U27" s="267"/>
      <c r="V27" s="831"/>
      <c r="W27" s="1470"/>
      <c r="X27" s="294"/>
      <c r="Y27" s="295"/>
      <c r="Z27" s="295"/>
      <c r="AA27" s="297"/>
      <c r="AB27" s="296"/>
      <c r="AC27" s="295"/>
      <c r="AD27" s="395"/>
      <c r="AE27" s="331"/>
      <c r="AF27" s="833"/>
      <c r="AG27" s="226"/>
      <c r="AH27" s="298"/>
      <c r="AI27" s="299"/>
      <c r="AJ27" s="1508"/>
      <c r="AK27" s="332"/>
      <c r="AL27" s="226"/>
      <c r="AM27" s="299"/>
      <c r="AN27" s="226"/>
      <c r="AO27" s="332"/>
      <c r="AP27" s="1462"/>
      <c r="AR27" s="1544"/>
    </row>
    <row r="28" spans="1:44" ht="30" customHeight="1">
      <c r="A28" s="820"/>
      <c r="B28" s="352" t="s">
        <v>89</v>
      </c>
      <c r="C28" s="287"/>
      <c r="D28" s="353"/>
      <c r="E28" s="289"/>
      <c r="F28" s="288"/>
      <c r="G28" s="290"/>
      <c r="H28" s="290"/>
      <c r="I28" s="291"/>
      <c r="J28" s="287"/>
      <c r="K28" s="288"/>
      <c r="L28" s="291"/>
      <c r="M28" s="290"/>
      <c r="N28" s="290"/>
      <c r="O28" s="291"/>
      <c r="P28" s="215"/>
      <c r="Q28" s="354"/>
      <c r="R28" s="288"/>
      <c r="S28" s="355"/>
      <c r="T28" s="215"/>
      <c r="U28" s="356"/>
      <c r="V28" s="831"/>
      <c r="W28" s="1470"/>
      <c r="X28" s="294"/>
      <c r="Y28" s="295"/>
      <c r="Z28" s="378"/>
      <c r="AA28" s="297"/>
      <c r="AB28" s="296"/>
      <c r="AC28" s="295"/>
      <c r="AD28" s="395"/>
      <c r="AE28" s="331"/>
      <c r="AF28" s="833"/>
      <c r="AG28" s="226"/>
      <c r="AH28" s="298"/>
      <c r="AI28" s="299"/>
      <c r="AJ28" s="1505"/>
      <c r="AK28" s="332"/>
      <c r="AL28" s="226"/>
      <c r="AM28" s="299"/>
      <c r="AN28" s="226"/>
      <c r="AO28" s="332"/>
      <c r="AP28" s="1462"/>
      <c r="AR28" s="1544"/>
    </row>
    <row r="29" spans="1:44" ht="30" customHeight="1">
      <c r="A29" s="820"/>
      <c r="B29" s="357" t="s">
        <v>33</v>
      </c>
      <c r="C29" s="305">
        <v>47</v>
      </c>
      <c r="D29" s="1485">
        <v>498</v>
      </c>
      <c r="E29" s="304">
        <f>SUM(C29:D29)</f>
        <v>545</v>
      </c>
      <c r="F29" s="303">
        <v>8</v>
      </c>
      <c r="G29" s="262">
        <f>C29</f>
        <v>47</v>
      </c>
      <c r="H29" s="262">
        <f>SUM(D29,F29)</f>
        <v>506</v>
      </c>
      <c r="I29" s="333">
        <f>SUM(G29:H29)</f>
        <v>553</v>
      </c>
      <c r="J29" s="305"/>
      <c r="K29" s="303"/>
      <c r="L29" s="334">
        <f>SUM(J29:K29)</f>
        <v>0</v>
      </c>
      <c r="M29" s="306">
        <f>SUM(E29,J29)</f>
        <v>545</v>
      </c>
      <c r="N29" s="262">
        <f>SUM(F29,K29)</f>
        <v>8</v>
      </c>
      <c r="O29" s="307">
        <f>SUM(M29:N29)</f>
        <v>553</v>
      </c>
      <c r="P29" s="215"/>
      <c r="Q29" s="358">
        <v>151</v>
      </c>
      <c r="R29" s="303">
        <v>3</v>
      </c>
      <c r="S29" s="337">
        <f>SUM(Q29:R29)</f>
        <v>154</v>
      </c>
      <c r="T29" s="215"/>
      <c r="U29" s="338">
        <f>SUM(O29,S29)</f>
        <v>707</v>
      </c>
      <c r="V29" s="831"/>
      <c r="W29" s="1470"/>
      <c r="X29" s="310">
        <f>VLOOKUP($AR29,Early_Stats_Last_Year,VLOOKUP('Background Data'!$C$2,Inst_Tables,16,FALSE),FALSE)</f>
        <v>628</v>
      </c>
      <c r="Y29" s="311">
        <f>VLOOKUP($AR29,Early_Stats_Last_Year,VLOOKUP('Background Data'!$C$2,Inst_Tables,17,FALSE),FALSE)</f>
        <v>0</v>
      </c>
      <c r="Z29" s="1474">
        <f>SUM(X29:Y29)</f>
        <v>628</v>
      </c>
      <c r="AA29" s="311">
        <f>VLOOKUP($AR29,Early_Stats_Last_Year,VLOOKUP('Background Data'!$C$2,Inst_Tables,18,FALSE),FALSE)</f>
        <v>100</v>
      </c>
      <c r="AB29" s="312">
        <f>IF(X29&gt;0,(I29-X29)/X29,"")</f>
        <v>-0.11942675159235669</v>
      </c>
      <c r="AC29" s="313" t="str">
        <f>IF(Y29&gt;0,(L29-Y29)/Y29,"")</f>
        <v/>
      </c>
      <c r="AD29" s="313">
        <f>IF(Z29&gt;0,(O29-Z29)/Z29,"")</f>
        <v>-0.11942675159235669</v>
      </c>
      <c r="AE29" s="1524">
        <f>IF(AA29&gt;0,(S29-AA29)/AA29,"")</f>
        <v>0.54</v>
      </c>
      <c r="AF29" s="833"/>
      <c r="AG29" s="226"/>
      <c r="AH29" s="314">
        <f>VLOOKUP($AR29,Final_Figures_Last_Year,VLOOKUP('Background Data'!$C$2,Inst_Tables,16,FALSE),FALSE)</f>
        <v>634.49199999999996</v>
      </c>
      <c r="AI29" s="315">
        <f>VLOOKUP($AR29,Final_Figures_Last_Year,VLOOKUP('Background Data'!$C$2,Inst_Tables,17,FALSE),FALSE)</f>
        <v>0</v>
      </c>
      <c r="AJ29" s="1506">
        <f>SUM(AH29:AI29)</f>
        <v>634.49199999999996</v>
      </c>
      <c r="AK29" s="1522">
        <f>VLOOKUP($AR29,Final_Figures_Last_Year,VLOOKUP('Background Data'!$C$2,Inst_Tables,18,FALSE),FALSE)</f>
        <v>101</v>
      </c>
      <c r="AL29" s="1475">
        <f>IF(AH29&gt;0,(I29-AH29)/AH29,"")</f>
        <v>-0.12843660755375949</v>
      </c>
      <c r="AM29" s="316" t="str">
        <f>IF(AI29&gt;0,(L29-AI29)/AI29,"")</f>
        <v/>
      </c>
      <c r="AN29" s="1475">
        <f>IF(AJ29&gt;0,(O29-AJ29)/AJ29,"")</f>
        <v>-0.12843660755375949</v>
      </c>
      <c r="AO29" s="459">
        <f t="shared" ref="AO29:AO36" si="4">IF(AK29&gt;0,(S29-AK29)/AK29,"")</f>
        <v>0.52475247524752477</v>
      </c>
      <c r="AP29" s="1462"/>
      <c r="AR29" s="1543">
        <v>7</v>
      </c>
    </row>
    <row r="30" spans="1:44" ht="30" customHeight="1">
      <c r="A30" s="820"/>
      <c r="B30" s="357" t="s">
        <v>34</v>
      </c>
      <c r="C30" s="305">
        <v>1</v>
      </c>
      <c r="D30" s="1485">
        <v>241</v>
      </c>
      <c r="E30" s="304">
        <f>SUM(C30:D30)</f>
        <v>242</v>
      </c>
      <c r="F30" s="303" t="s">
        <v>471</v>
      </c>
      <c r="G30" s="262">
        <f t="shared" ref="G30:G31" si="5">C30</f>
        <v>1</v>
      </c>
      <c r="H30" s="262">
        <f>SUM(D30,F30)</f>
        <v>241</v>
      </c>
      <c r="I30" s="333">
        <f>SUM(G30:H30)</f>
        <v>242</v>
      </c>
      <c r="J30" s="305"/>
      <c r="K30" s="303"/>
      <c r="L30" s="334">
        <f>SUM(J30:K30)</f>
        <v>0</v>
      </c>
      <c r="M30" s="306">
        <f>SUM(E30,J30)</f>
        <v>242</v>
      </c>
      <c r="N30" s="262">
        <f t="shared" ref="N30:N32" si="6">SUM(F30,K30)</f>
        <v>0</v>
      </c>
      <c r="O30" s="307">
        <f>SUM(M30:N30)</f>
        <v>242</v>
      </c>
      <c r="P30" s="215"/>
      <c r="Q30" s="358">
        <v>54</v>
      </c>
      <c r="R30" s="303"/>
      <c r="S30" s="337">
        <f>SUM(Q30:R30)</f>
        <v>54</v>
      </c>
      <c r="T30" s="215"/>
      <c r="U30" s="338">
        <f>SUM(O30,S30)</f>
        <v>296</v>
      </c>
      <c r="V30" s="831"/>
      <c r="W30" s="1470"/>
      <c r="X30" s="310">
        <f>VLOOKUP($AR30,Early_Stats_Last_Year,VLOOKUP('Background Data'!$C$2,Inst_Tables,16,FALSE),FALSE)</f>
        <v>280</v>
      </c>
      <c r="Y30" s="311">
        <f>VLOOKUP($AR30,Early_Stats_Last_Year,VLOOKUP('Background Data'!$C$2,Inst_Tables,17,FALSE),FALSE)</f>
        <v>0</v>
      </c>
      <c r="Z30" s="1474">
        <f>SUM(X30:Y30)</f>
        <v>280</v>
      </c>
      <c r="AA30" s="311">
        <f>VLOOKUP($AR30,Early_Stats_Last_Year,VLOOKUP('Background Data'!$C$2,Inst_Tables,18,FALSE),FALSE)</f>
        <v>40</v>
      </c>
      <c r="AB30" s="312">
        <f>IF(X30&gt;0,(I30-X30)/X30,"")</f>
        <v>-0.1357142857142857</v>
      </c>
      <c r="AC30" s="313" t="str">
        <f>IF(Y30&gt;0,(L30-Y30)/Y30,"")</f>
        <v/>
      </c>
      <c r="AD30" s="313">
        <f>IF(Z30&gt;0,(O30-Z30)/Z30,"")</f>
        <v>-0.1357142857142857</v>
      </c>
      <c r="AE30" s="1524">
        <f t="shared" ref="AE30:AE32" si="7">IF(AA30&gt;0,(S30-AA30)/AA30,"")</f>
        <v>0.35</v>
      </c>
      <c r="AF30" s="833"/>
      <c r="AG30" s="226"/>
      <c r="AH30" s="314">
        <f>VLOOKUP($AR30,Final_Figures_Last_Year,VLOOKUP('Background Data'!$C$2,Inst_Tables,16,FALSE),FALSE)</f>
        <v>281</v>
      </c>
      <c r="AI30" s="315">
        <f>VLOOKUP($AR30,Final_Figures_Last_Year,VLOOKUP('Background Data'!$C$2,Inst_Tables,17,FALSE),FALSE)</f>
        <v>0</v>
      </c>
      <c r="AJ30" s="1506">
        <f>SUM(AH30:AI30)</f>
        <v>281</v>
      </c>
      <c r="AK30" s="1522">
        <f>VLOOKUP($AR30,Final_Figures_Last_Year,VLOOKUP('Background Data'!$C$2,Inst_Tables,18,FALSE),FALSE)</f>
        <v>40</v>
      </c>
      <c r="AL30" s="1475">
        <f>IF(AH30&gt;0,(I30-AH30)/AH30,"")</f>
        <v>-0.13879003558718861</v>
      </c>
      <c r="AM30" s="316" t="str">
        <f>IF(AI30&gt;0,(L30-AI30)/AI30,"")</f>
        <v/>
      </c>
      <c r="AN30" s="1475">
        <f>IF(AJ30&gt;0,(O30-AJ30)/AJ30,"")</f>
        <v>-0.13879003558718861</v>
      </c>
      <c r="AO30" s="459">
        <f t="shared" si="4"/>
        <v>0.35</v>
      </c>
      <c r="AP30" s="1462"/>
      <c r="AR30" s="1543">
        <v>8</v>
      </c>
    </row>
    <row r="31" spans="1:44" ht="30" customHeight="1">
      <c r="A31" s="820"/>
      <c r="B31" s="357" t="s">
        <v>5</v>
      </c>
      <c r="C31" s="305"/>
      <c r="D31" s="1485">
        <v>323</v>
      </c>
      <c r="E31" s="304">
        <f>SUM(C31:D31)</f>
        <v>323</v>
      </c>
      <c r="F31" s="303">
        <v>1</v>
      </c>
      <c r="G31" s="262">
        <f t="shared" si="5"/>
        <v>0</v>
      </c>
      <c r="H31" s="262">
        <f>SUM(D31,F31)</f>
        <v>324</v>
      </c>
      <c r="I31" s="333">
        <f>SUM(G31:H31)</f>
        <v>324</v>
      </c>
      <c r="J31" s="305"/>
      <c r="K31" s="303"/>
      <c r="L31" s="334">
        <f>SUM(J31:K31)</f>
        <v>0</v>
      </c>
      <c r="M31" s="306">
        <f>SUM(E31,J31)</f>
        <v>323</v>
      </c>
      <c r="N31" s="262">
        <f t="shared" si="6"/>
        <v>1</v>
      </c>
      <c r="O31" s="307">
        <f>SUM(M31:N31)</f>
        <v>324</v>
      </c>
      <c r="P31" s="215"/>
      <c r="Q31" s="358">
        <v>119</v>
      </c>
      <c r="R31" s="303">
        <v>1</v>
      </c>
      <c r="S31" s="337">
        <f>SUM(Q31:R31)</f>
        <v>120</v>
      </c>
      <c r="T31" s="215"/>
      <c r="U31" s="338">
        <f>SUM(O31,S31)</f>
        <v>444</v>
      </c>
      <c r="V31" s="831"/>
      <c r="W31" s="1470"/>
      <c r="X31" s="310">
        <f>VLOOKUP($AR31,Early_Stats_Last_Year,VLOOKUP('Background Data'!$C$2,Inst_Tables,16,FALSE),FALSE)</f>
        <v>311</v>
      </c>
      <c r="Y31" s="311">
        <f>VLOOKUP($AR31,Early_Stats_Last_Year,VLOOKUP('Background Data'!$C$2,Inst_Tables,17,FALSE),FALSE)</f>
        <v>0</v>
      </c>
      <c r="Z31" s="1474">
        <f>SUM(X31:Y31)</f>
        <v>311</v>
      </c>
      <c r="AA31" s="311">
        <f>VLOOKUP($AR31,Early_Stats_Last_Year,VLOOKUP('Background Data'!$C$2,Inst_Tables,18,FALSE),FALSE)</f>
        <v>116</v>
      </c>
      <c r="AB31" s="312">
        <f>IF(X31&gt;0,(I31-X31)/X31,"")</f>
        <v>4.1800643086816719E-2</v>
      </c>
      <c r="AC31" s="313" t="str">
        <f>IF(Y31&gt;0,(L31-Y31)/Y31,"")</f>
        <v/>
      </c>
      <c r="AD31" s="313">
        <f>IF(Z31&gt;0,(O31-Z31)/Z31,"")</f>
        <v>4.1800643086816719E-2</v>
      </c>
      <c r="AE31" s="1524">
        <f t="shared" si="7"/>
        <v>3.4482758620689655E-2</v>
      </c>
      <c r="AF31" s="833"/>
      <c r="AG31" s="226"/>
      <c r="AH31" s="314">
        <f>VLOOKUP($AR31,Final_Figures_Last_Year,VLOOKUP('Background Data'!$C$2,Inst_Tables,16,FALSE),FALSE)</f>
        <v>312</v>
      </c>
      <c r="AI31" s="315">
        <f>VLOOKUP($AR31,Final_Figures_Last_Year,VLOOKUP('Background Data'!$C$2,Inst_Tables,17,FALSE),FALSE)</f>
        <v>0</v>
      </c>
      <c r="AJ31" s="1506">
        <f>SUM(AH31:AI31)</f>
        <v>312</v>
      </c>
      <c r="AK31" s="1522">
        <f>VLOOKUP($AR31,Final_Figures_Last_Year,VLOOKUP('Background Data'!$C$2,Inst_Tables,18,FALSE),FALSE)</f>
        <v>118</v>
      </c>
      <c r="AL31" s="1475">
        <f>IF(AH31&gt;0,(I31-AH31)/AH31,"")</f>
        <v>3.8461538461538464E-2</v>
      </c>
      <c r="AM31" s="316" t="str">
        <f>IF(AI31&gt;0,(L31-AI31)/AI31,"")</f>
        <v/>
      </c>
      <c r="AN31" s="1475">
        <f>IF(AJ31&gt;0,(O31-AJ31)/AJ31,"")</f>
        <v>3.8461538461538464E-2</v>
      </c>
      <c r="AO31" s="459">
        <f t="shared" si="4"/>
        <v>1.6949152542372881E-2</v>
      </c>
      <c r="AP31" s="1462"/>
      <c r="AR31" s="1543">
        <v>9</v>
      </c>
    </row>
    <row r="32" spans="1:44" ht="30" customHeight="1">
      <c r="A32" s="820"/>
      <c r="B32" s="357" t="s">
        <v>6</v>
      </c>
      <c r="C32" s="359"/>
      <c r="D32" s="303">
        <v>54</v>
      </c>
      <c r="E32" s="304">
        <f>D32</f>
        <v>54</v>
      </c>
      <c r="F32" s="303"/>
      <c r="G32" s="262"/>
      <c r="H32" s="262">
        <f>SUM(E32,F32)</f>
        <v>54</v>
      </c>
      <c r="I32" s="333">
        <f>H32</f>
        <v>54</v>
      </c>
      <c r="J32" s="305"/>
      <c r="K32" s="303"/>
      <c r="L32" s="334">
        <f>SUM(J32:K32)</f>
        <v>0</v>
      </c>
      <c r="M32" s="306">
        <f>SUM(E32,J32)</f>
        <v>54</v>
      </c>
      <c r="N32" s="262">
        <f t="shared" si="6"/>
        <v>0</v>
      </c>
      <c r="O32" s="307">
        <f>SUM(M32:N32)</f>
        <v>54</v>
      </c>
      <c r="P32" s="215"/>
      <c r="Q32" s="358">
        <v>14</v>
      </c>
      <c r="R32" s="303"/>
      <c r="S32" s="337">
        <f>SUM(Q32:R32)</f>
        <v>14</v>
      </c>
      <c r="T32" s="215"/>
      <c r="U32" s="338">
        <f>SUM(O32,S32)</f>
        <v>68</v>
      </c>
      <c r="V32" s="831"/>
      <c r="W32" s="1470"/>
      <c r="X32" s="310">
        <f>VLOOKUP($AR32,Early_Stats_Last_Year,VLOOKUP('Background Data'!$C$2,Inst_Tables,16,FALSE),FALSE)</f>
        <v>53</v>
      </c>
      <c r="Y32" s="311">
        <f>VLOOKUP($AR32,Early_Stats_Last_Year,VLOOKUP('Background Data'!$C$2,Inst_Tables,17,FALSE),FALSE)</f>
        <v>0</v>
      </c>
      <c r="Z32" s="1474">
        <f>SUM(X32:Y32)</f>
        <v>53</v>
      </c>
      <c r="AA32" s="311">
        <f>VLOOKUP($AR32,Early_Stats_Last_Year,VLOOKUP('Background Data'!$C$2,Inst_Tables,18,FALSE),FALSE)</f>
        <v>14</v>
      </c>
      <c r="AB32" s="312">
        <f>IF(X32&gt;0,(I32-X32)/X32,"")</f>
        <v>1.8867924528301886E-2</v>
      </c>
      <c r="AC32" s="313" t="str">
        <f>IF(Y32&gt;0,(L32-Y32)/Y32,"")</f>
        <v/>
      </c>
      <c r="AD32" s="313">
        <f>IF(Z32&gt;0,(O32-Z32)/Z32,"")</f>
        <v>1.8867924528301886E-2</v>
      </c>
      <c r="AE32" s="1524">
        <f t="shared" si="7"/>
        <v>0</v>
      </c>
      <c r="AF32" s="833"/>
      <c r="AG32" s="226"/>
      <c r="AH32" s="314">
        <f>VLOOKUP($AR32,Final_Figures_Last_Year,VLOOKUP('Background Data'!$C$2,Inst_Tables,16,FALSE),FALSE)</f>
        <v>53</v>
      </c>
      <c r="AI32" s="315">
        <f>VLOOKUP($AR32,Final_Figures_Last_Year,VLOOKUP('Background Data'!$C$2,Inst_Tables,17,FALSE),FALSE)</f>
        <v>0</v>
      </c>
      <c r="AJ32" s="1506">
        <f>SUM(AH32:AI32)</f>
        <v>53</v>
      </c>
      <c r="AK32" s="1522">
        <f>VLOOKUP($AR32,Final_Figures_Last_Year,VLOOKUP('Background Data'!$C$2,Inst_Tables,18,FALSE),FALSE)</f>
        <v>14</v>
      </c>
      <c r="AL32" s="1475">
        <f>IF(AH32&gt;0,(I32-AH32)/AH32,"")</f>
        <v>1.8867924528301886E-2</v>
      </c>
      <c r="AM32" s="316" t="str">
        <f>IF(AI32&gt;0,(L32-AI32)/AI32,"")</f>
        <v/>
      </c>
      <c r="AN32" s="1475">
        <f>IF(AJ32&gt;0,(O32-AJ32)/AJ32,"")</f>
        <v>1.8867924528301886E-2</v>
      </c>
      <c r="AO32" s="459">
        <f t="shared" si="4"/>
        <v>0</v>
      </c>
      <c r="AP32" s="1462"/>
      <c r="AR32" s="1543">
        <v>10</v>
      </c>
    </row>
    <row r="33" spans="1:44" ht="30" customHeight="1">
      <c r="A33" s="820"/>
      <c r="B33" s="352" t="s">
        <v>7</v>
      </c>
      <c r="C33" s="360"/>
      <c r="D33" s="1488"/>
      <c r="E33" s="361"/>
      <c r="F33" s="362"/>
      <c r="G33" s="363"/>
      <c r="H33" s="363"/>
      <c r="I33" s="364"/>
      <c r="J33" s="1488"/>
      <c r="K33" s="362"/>
      <c r="L33" s="364"/>
      <c r="M33" s="363"/>
      <c r="N33" s="363"/>
      <c r="O33" s="364"/>
      <c r="P33" s="215"/>
      <c r="Q33" s="365"/>
      <c r="R33" s="362"/>
      <c r="S33" s="366"/>
      <c r="T33" s="215"/>
      <c r="U33" s="267"/>
      <c r="V33" s="831"/>
      <c r="W33" s="1470"/>
      <c r="X33" s="367"/>
      <c r="Y33" s="368"/>
      <c r="Z33" s="368"/>
      <c r="AA33" s="369"/>
      <c r="AB33" s="395"/>
      <c r="AC33" s="295"/>
      <c r="AD33" s="395"/>
      <c r="AE33" s="331"/>
      <c r="AF33" s="833"/>
      <c r="AG33" s="226"/>
      <c r="AH33" s="370"/>
      <c r="AI33" s="371"/>
      <c r="AJ33" s="1510"/>
      <c r="AK33" s="332"/>
      <c r="AL33" s="226"/>
      <c r="AM33" s="299"/>
      <c r="AN33" s="226"/>
      <c r="AO33" s="332"/>
      <c r="AP33" s="1462"/>
      <c r="AR33" s="1544"/>
    </row>
    <row r="34" spans="1:44" ht="30" customHeight="1">
      <c r="A34" s="820"/>
      <c r="B34" s="357" t="s">
        <v>93</v>
      </c>
      <c r="C34" s="305"/>
      <c r="D34" s="1485">
        <v>545.5</v>
      </c>
      <c r="E34" s="304">
        <f>SUM(C34:D34)</f>
        <v>545.5</v>
      </c>
      <c r="F34" s="303">
        <v>2.1</v>
      </c>
      <c r="G34" s="262">
        <f t="shared" ref="G34:G37" si="8">C34</f>
        <v>0</v>
      </c>
      <c r="H34" s="262">
        <f>SUM(D34,F34)</f>
        <v>547.6</v>
      </c>
      <c r="I34" s="333">
        <f>SUM(G34:H34)</f>
        <v>547.6</v>
      </c>
      <c r="J34" s="305">
        <v>3.2</v>
      </c>
      <c r="K34" s="303">
        <v>0.7</v>
      </c>
      <c r="L34" s="334">
        <f>SUM(J34:K34)</f>
        <v>3.9000000000000004</v>
      </c>
      <c r="M34" s="306">
        <f>SUM(E34,J34)</f>
        <v>548.70000000000005</v>
      </c>
      <c r="N34" s="262">
        <f>SUM(F34,K34)</f>
        <v>2.8</v>
      </c>
      <c r="O34" s="307">
        <f>SUM(M34:N34)</f>
        <v>551.5</v>
      </c>
      <c r="P34" s="215"/>
      <c r="Q34" s="358">
        <v>8</v>
      </c>
      <c r="R34" s="303"/>
      <c r="S34" s="337">
        <f>SUM(Q34:R34)</f>
        <v>8</v>
      </c>
      <c r="T34" s="215"/>
      <c r="U34" s="338">
        <f>SUM(O34,S34)</f>
        <v>559.5</v>
      </c>
      <c r="V34" s="831"/>
      <c r="W34" s="1470"/>
      <c r="X34" s="310">
        <f>VLOOKUP($AR34,Early_Stats_Last_Year,VLOOKUP('Background Data'!$C$2,Inst_Tables,16,FALSE),FALSE)</f>
        <v>555</v>
      </c>
      <c r="Y34" s="311">
        <f>VLOOKUP($AR34,Early_Stats_Last_Year,VLOOKUP('Background Data'!$C$2,Inst_Tables,17,FALSE),FALSE)</f>
        <v>8.8800000000000008</v>
      </c>
      <c r="Z34" s="1474">
        <f>SUM(X34:Y34)</f>
        <v>563.88</v>
      </c>
      <c r="AA34" s="311">
        <f>VLOOKUP($AR34,Early_Stats_Last_Year,VLOOKUP('Background Data'!$C$2,Inst_Tables,18,FALSE),FALSE)</f>
        <v>9</v>
      </c>
      <c r="AB34" s="312">
        <f>IF(X34&gt;0,(I34-X34)/X34,"")</f>
        <v>-1.3333333333333293E-2</v>
      </c>
      <c r="AC34" s="313">
        <f>IF(Y34&gt;0,(L34-Y34)/Y34,"")</f>
        <v>-0.56081081081081086</v>
      </c>
      <c r="AD34" s="313">
        <f>IF(Z34&gt;0,(O34-Z34)/Z34,"")</f>
        <v>-2.1955025892033759E-2</v>
      </c>
      <c r="AE34" s="1524">
        <f t="shared" ref="AE34:AE37" si="9">IF(AA34&gt;0,(S34-AA34)/AA34,"")</f>
        <v>-0.1111111111111111</v>
      </c>
      <c r="AF34" s="833"/>
      <c r="AG34" s="226"/>
      <c r="AH34" s="314">
        <f>VLOOKUP($AR34,Final_Figures_Last_Year,VLOOKUP('Background Data'!$C$2,Inst_Tables,16,FALSE),FALSE)</f>
        <v>557.07000000000005</v>
      </c>
      <c r="AI34" s="315">
        <f>VLOOKUP($AR34,Final_Figures_Last_Year,VLOOKUP('Background Data'!$C$2,Inst_Tables,17,FALSE),FALSE)</f>
        <v>9.5500000000000007</v>
      </c>
      <c r="AJ34" s="1506">
        <f>SUM(AH34:AI34)</f>
        <v>566.62</v>
      </c>
      <c r="AK34" s="1522">
        <f>VLOOKUP($AR34,Final_Figures_Last_Year,VLOOKUP('Background Data'!$C$2,Inst_Tables,18,FALSE),FALSE)</f>
        <v>8</v>
      </c>
      <c r="AL34" s="1475">
        <f>IF(AH34&gt;0,(I34-AH34)/AH34,"")</f>
        <v>-1.6999658929757529E-2</v>
      </c>
      <c r="AM34" s="316">
        <f>IF(AI34&gt;0,(L34-AI34)/AI34,"")</f>
        <v>-0.59162303664921467</v>
      </c>
      <c r="AN34" s="1475">
        <f>IF(AJ34&gt;0,(O34-AJ34)/AJ34,"")</f>
        <v>-2.6684550492393499E-2</v>
      </c>
      <c r="AO34" s="459">
        <f>IF(AK34&gt;0,(S34-AK34)/AK34,"")</f>
        <v>0</v>
      </c>
      <c r="AP34" s="1462"/>
      <c r="AR34" s="1543">
        <v>11</v>
      </c>
    </row>
    <row r="35" spans="1:44" ht="30" customHeight="1">
      <c r="A35" s="820"/>
      <c r="B35" s="357" t="s">
        <v>21</v>
      </c>
      <c r="C35" s="305"/>
      <c r="D35" s="1485"/>
      <c r="E35" s="304">
        <f>SUM(C35:D35)</f>
        <v>0</v>
      </c>
      <c r="F35" s="303"/>
      <c r="G35" s="262">
        <f t="shared" si="8"/>
        <v>0</v>
      </c>
      <c r="H35" s="262">
        <f>SUM(D35,F35)</f>
        <v>0</v>
      </c>
      <c r="I35" s="333">
        <f>SUM(G35:H35)</f>
        <v>0</v>
      </c>
      <c r="J35" s="305"/>
      <c r="K35" s="303"/>
      <c r="L35" s="334">
        <f>SUM(J35:K35)</f>
        <v>0</v>
      </c>
      <c r="M35" s="306">
        <f>SUM(E35,J35)</f>
        <v>0</v>
      </c>
      <c r="N35" s="262">
        <f t="shared" ref="N35:N37" si="10">SUM(F35,K35)</f>
        <v>0</v>
      </c>
      <c r="O35" s="307">
        <f>SUM(M35:N35)</f>
        <v>0</v>
      </c>
      <c r="P35" s="215"/>
      <c r="Q35" s="358"/>
      <c r="R35" s="303"/>
      <c r="S35" s="337">
        <f>SUM(Q35:R35)</f>
        <v>0</v>
      </c>
      <c r="T35" s="215"/>
      <c r="U35" s="338">
        <f>SUM(O35,S35)</f>
        <v>0</v>
      </c>
      <c r="V35" s="831"/>
      <c r="W35" s="1470"/>
      <c r="X35" s="310">
        <f>VLOOKUP($AR35,Early_Stats_Last_Year,VLOOKUP('Background Data'!$C$2,Inst_Tables,16,FALSE),FALSE)</f>
        <v>0</v>
      </c>
      <c r="Y35" s="311">
        <f>VLOOKUP($AR35,Early_Stats_Last_Year,VLOOKUP('Background Data'!$C$2,Inst_Tables,17,FALSE),FALSE)</f>
        <v>0</v>
      </c>
      <c r="Z35" s="1474">
        <f>SUM(X35:Y35)</f>
        <v>0</v>
      </c>
      <c r="AA35" s="311">
        <f>VLOOKUP($AR35,Early_Stats_Last_Year,VLOOKUP('Background Data'!$C$2,Inst_Tables,18,FALSE),FALSE)</f>
        <v>0</v>
      </c>
      <c r="AB35" s="312" t="str">
        <f>IF(X35&gt;0,(I35-X35)/X35,"")</f>
        <v/>
      </c>
      <c r="AC35" s="313" t="str">
        <f>IF(Y35&gt;0,(L35-Y35)/Y35,"")</f>
        <v/>
      </c>
      <c r="AD35" s="313" t="str">
        <f>IF(Z35&gt;0,(O35-Z35)/Z35,"")</f>
        <v/>
      </c>
      <c r="AE35" s="1524" t="str">
        <f t="shared" si="9"/>
        <v/>
      </c>
      <c r="AF35" s="833"/>
      <c r="AG35" s="226"/>
      <c r="AH35" s="314">
        <f>VLOOKUP($AR35,Final_Figures_Last_Year,VLOOKUP('Background Data'!$C$2,Inst_Tables,16,FALSE),FALSE)</f>
        <v>0</v>
      </c>
      <c r="AI35" s="315">
        <f>VLOOKUP($AR35,Final_Figures_Last_Year,VLOOKUP('Background Data'!$C$2,Inst_Tables,17,FALSE),FALSE)</f>
        <v>0</v>
      </c>
      <c r="AJ35" s="1506">
        <f>SUM(AH35:AI35)</f>
        <v>0</v>
      </c>
      <c r="AK35" s="1522">
        <f>VLOOKUP($AR35,Final_Figures_Last_Year,VLOOKUP('Background Data'!$C$2,Inst_Tables,18,FALSE),FALSE)</f>
        <v>0</v>
      </c>
      <c r="AL35" s="1475" t="str">
        <f>IF(AH35&gt;0,(I35-AH35)/AH35,"")</f>
        <v/>
      </c>
      <c r="AM35" s="316" t="str">
        <f>IF(AI35&gt;0,(L35-AI35)/AI35,"")</f>
        <v/>
      </c>
      <c r="AN35" s="1475" t="str">
        <f>IF(AJ35&gt;0,(O35-AJ35)/AJ35,"")</f>
        <v/>
      </c>
      <c r="AO35" s="459" t="str">
        <f t="shared" si="4"/>
        <v/>
      </c>
      <c r="AP35" s="1462"/>
      <c r="AR35" s="1543">
        <v>12</v>
      </c>
    </row>
    <row r="36" spans="1:44" ht="30" customHeight="1">
      <c r="A36" s="820"/>
      <c r="B36" s="357" t="s">
        <v>22</v>
      </c>
      <c r="C36" s="305"/>
      <c r="D36" s="1485"/>
      <c r="E36" s="304">
        <f>SUM(C36:D36)</f>
        <v>0</v>
      </c>
      <c r="F36" s="303"/>
      <c r="G36" s="262">
        <f t="shared" si="8"/>
        <v>0</v>
      </c>
      <c r="H36" s="262">
        <f>SUM(D36,F36)</f>
        <v>0</v>
      </c>
      <c r="I36" s="333">
        <f>SUM(G36:H36)</f>
        <v>0</v>
      </c>
      <c r="J36" s="305"/>
      <c r="K36" s="303"/>
      <c r="L36" s="334">
        <f t="shared" ref="L36" si="11">SUM(J36:K36)</f>
        <v>0</v>
      </c>
      <c r="M36" s="306">
        <f>SUM(E36,J36)</f>
        <v>0</v>
      </c>
      <c r="N36" s="262">
        <f t="shared" si="10"/>
        <v>0</v>
      </c>
      <c r="O36" s="307">
        <f>SUM(M36:N36)</f>
        <v>0</v>
      </c>
      <c r="P36" s="215"/>
      <c r="Q36" s="358"/>
      <c r="R36" s="303"/>
      <c r="S36" s="337">
        <f>SUM(Q36:R36)</f>
        <v>0</v>
      </c>
      <c r="T36" s="215"/>
      <c r="U36" s="338">
        <f>SUM(O36,S36)</f>
        <v>0</v>
      </c>
      <c r="V36" s="831"/>
      <c r="W36" s="1470"/>
      <c r="X36" s="310">
        <f>VLOOKUP($AR36,Early_Stats_Last_Year,VLOOKUP('Background Data'!$C$2,Inst_Tables,16,FALSE),FALSE)</f>
        <v>0</v>
      </c>
      <c r="Y36" s="311">
        <f>VLOOKUP($AR36,Early_Stats_Last_Year,VLOOKUP('Background Data'!$C$2,Inst_Tables,17,FALSE),FALSE)</f>
        <v>0</v>
      </c>
      <c r="Z36" s="1474">
        <f>SUM(X36:Y36)</f>
        <v>0</v>
      </c>
      <c r="AA36" s="311">
        <f>VLOOKUP($AR36,Early_Stats_Last_Year,VLOOKUP('Background Data'!$C$2,Inst_Tables,18,FALSE),FALSE)</f>
        <v>0</v>
      </c>
      <c r="AB36" s="312" t="str">
        <f>IF(X36&gt;0,(I36-X36)/X36,"")</f>
        <v/>
      </c>
      <c r="AC36" s="313" t="str">
        <f>IF(Y36&gt;0,(L36-Y36)/Y36,"")</f>
        <v/>
      </c>
      <c r="AD36" s="313" t="str">
        <f>IF(Z36&gt;0,(O36-Z36)/Z36,"")</f>
        <v/>
      </c>
      <c r="AE36" s="1524" t="str">
        <f t="shared" si="9"/>
        <v/>
      </c>
      <c r="AF36" s="833"/>
      <c r="AG36" s="226"/>
      <c r="AH36" s="314">
        <f>VLOOKUP($AR36,Final_Figures_Last_Year,VLOOKUP('Background Data'!$C$2,Inst_Tables,16,FALSE),FALSE)</f>
        <v>0</v>
      </c>
      <c r="AI36" s="315">
        <f>VLOOKUP($AR36,Final_Figures_Last_Year,VLOOKUP('Background Data'!$C$2,Inst_Tables,17,FALSE),FALSE)</f>
        <v>0</v>
      </c>
      <c r="AJ36" s="1506">
        <f>SUM(AH36:AI36)</f>
        <v>0</v>
      </c>
      <c r="AK36" s="1522">
        <f>VLOOKUP($AR36,Final_Figures_Last_Year,VLOOKUP('Background Data'!$C$2,Inst_Tables,18,FALSE),FALSE)</f>
        <v>0</v>
      </c>
      <c r="AL36" s="1475" t="str">
        <f>IF(AH36&gt;0,(I36-AH36)/AH36,"")</f>
        <v/>
      </c>
      <c r="AM36" s="316" t="str">
        <f>IF(AI36&gt;0,(L36-AI36)/AI36,"")</f>
        <v/>
      </c>
      <c r="AN36" s="1475" t="str">
        <f>IF(AJ36&gt;0,(O36-AJ36)/AJ36,"")</f>
        <v/>
      </c>
      <c r="AO36" s="459" t="str">
        <f t="shared" si="4"/>
        <v/>
      </c>
      <c r="AP36" s="1462"/>
      <c r="AR36" s="1543">
        <v>13</v>
      </c>
    </row>
    <row r="37" spans="1:44" ht="30" customHeight="1">
      <c r="A37" s="820"/>
      <c r="B37" s="357" t="s">
        <v>23</v>
      </c>
      <c r="C37" s="305"/>
      <c r="D37" s="1485">
        <v>85.2</v>
      </c>
      <c r="E37" s="304">
        <f>SUM(C37:D37)</f>
        <v>85.2</v>
      </c>
      <c r="F37" s="303">
        <v>1</v>
      </c>
      <c r="G37" s="262">
        <f t="shared" si="8"/>
        <v>0</v>
      </c>
      <c r="H37" s="262">
        <f>SUM(D37,F37)</f>
        <v>86.2</v>
      </c>
      <c r="I37" s="333">
        <f>SUM(G37:H37)</f>
        <v>86.2</v>
      </c>
      <c r="J37" s="305">
        <v>2.4</v>
      </c>
      <c r="K37" s="303"/>
      <c r="L37" s="334">
        <f>SUM(J37:K37)</f>
        <v>2.4</v>
      </c>
      <c r="M37" s="306">
        <f>SUM(E37,J37)</f>
        <v>87.600000000000009</v>
      </c>
      <c r="N37" s="262">
        <f t="shared" si="10"/>
        <v>1</v>
      </c>
      <c r="O37" s="307">
        <f>SUM(M37:N37)</f>
        <v>88.600000000000009</v>
      </c>
      <c r="P37" s="215"/>
      <c r="Q37" s="358"/>
      <c r="R37" s="303"/>
      <c r="S37" s="337">
        <f>SUM(Q37:R37)</f>
        <v>0</v>
      </c>
      <c r="T37" s="215"/>
      <c r="U37" s="338">
        <f>SUM(O37,S37)</f>
        <v>88.600000000000009</v>
      </c>
      <c r="V37" s="831"/>
      <c r="W37" s="1470"/>
      <c r="X37" s="310">
        <f>VLOOKUP($AR37,Early_Stats_Last_Year,VLOOKUP('Background Data'!$C$2,Inst_Tables,16,FALSE),FALSE)</f>
        <v>91</v>
      </c>
      <c r="Y37" s="311">
        <f>VLOOKUP($AR37,Early_Stats_Last_Year,VLOOKUP('Background Data'!$C$2,Inst_Tables,17,FALSE),FALSE)</f>
        <v>0.6</v>
      </c>
      <c r="Z37" s="1474">
        <f>SUM(X37:Y37)</f>
        <v>91.6</v>
      </c>
      <c r="AA37" s="311">
        <f>VLOOKUP($AR37,Early_Stats_Last_Year,VLOOKUP('Background Data'!$C$2,Inst_Tables,18,FALSE),FALSE)</f>
        <v>0</v>
      </c>
      <c r="AB37" s="312">
        <f>IF(X37&gt;0,(I37-X37)/X37,"")</f>
        <v>-5.2747252747252719E-2</v>
      </c>
      <c r="AC37" s="313">
        <f>IF(Y37&gt;0,(L37-Y37)/Y37,"")</f>
        <v>3</v>
      </c>
      <c r="AD37" s="313">
        <f>IF(Z37&gt;0,(O37-Z37)/Z37,"")</f>
        <v>-3.2751091703056616E-2</v>
      </c>
      <c r="AE37" s="1524" t="str">
        <f t="shared" si="9"/>
        <v/>
      </c>
      <c r="AF37" s="833"/>
      <c r="AG37" s="226"/>
      <c r="AH37" s="314">
        <f>VLOOKUP($AR37,Final_Figures_Last_Year,VLOOKUP('Background Data'!$C$2,Inst_Tables,16,FALSE),FALSE)</f>
        <v>91</v>
      </c>
      <c r="AI37" s="315">
        <f>VLOOKUP($AR37,Final_Figures_Last_Year,VLOOKUP('Background Data'!$C$2,Inst_Tables,17,FALSE),FALSE)</f>
        <v>0.6</v>
      </c>
      <c r="AJ37" s="1506">
        <f>SUM(AH37:AI37)</f>
        <v>91.6</v>
      </c>
      <c r="AK37" s="1522">
        <f>VLOOKUP($AR37,Final_Figures_Last_Year,VLOOKUP('Background Data'!$C$2,Inst_Tables,18,FALSE),FALSE)</f>
        <v>0</v>
      </c>
      <c r="AL37" s="1475">
        <f>IF(AH37&gt;0,(I37-AH37)/AH37,"")</f>
        <v>-5.2747252747252719E-2</v>
      </c>
      <c r="AM37" s="316">
        <f>IF(AI37&gt;0,(L37-AI37)/AI37,"")</f>
        <v>3</v>
      </c>
      <c r="AN37" s="1475">
        <f>IF(AJ37&gt;0,(O37-AJ37)/AJ37,"")</f>
        <v>-3.2751091703056616E-2</v>
      </c>
      <c r="AO37" s="459" t="str">
        <f>IF(AK37&gt;0,(S37-AK37)/AK37,"")</f>
        <v/>
      </c>
      <c r="AP37" s="1462"/>
      <c r="AR37" s="1543">
        <v>14</v>
      </c>
    </row>
    <row r="38" spans="1:44" ht="30" customHeight="1">
      <c r="A38" s="820"/>
      <c r="B38" s="352" t="s">
        <v>158</v>
      </c>
      <c r="C38" s="360"/>
      <c r="D38" s="1488"/>
      <c r="E38" s="361"/>
      <c r="F38" s="362"/>
      <c r="G38" s="363"/>
      <c r="H38" s="363"/>
      <c r="I38" s="364"/>
      <c r="J38" s="1488"/>
      <c r="K38" s="362"/>
      <c r="L38" s="364"/>
      <c r="M38" s="363"/>
      <c r="N38" s="363"/>
      <c r="O38" s="364"/>
      <c r="P38" s="215"/>
      <c r="Q38" s="1489"/>
      <c r="R38" s="1490"/>
      <c r="S38" s="1491"/>
      <c r="T38" s="215"/>
      <c r="U38" s="267"/>
      <c r="V38" s="831"/>
      <c r="W38" s="1470"/>
      <c r="X38" s="310"/>
      <c r="Y38" s="311"/>
      <c r="Z38" s="1474"/>
      <c r="AA38" s="1486"/>
      <c r="AB38" s="312"/>
      <c r="AC38" s="313"/>
      <c r="AD38" s="1119"/>
      <c r="AE38" s="1121"/>
      <c r="AF38" s="833"/>
      <c r="AG38" s="226"/>
      <c r="AH38" s="314"/>
      <c r="AI38" s="315"/>
      <c r="AJ38" s="1506"/>
      <c r="AK38" s="1512"/>
      <c r="AL38" s="1475"/>
      <c r="AM38" s="316"/>
      <c r="AN38" s="1475"/>
      <c r="AO38" s="332"/>
      <c r="AP38" s="1462"/>
      <c r="AR38" s="1543"/>
    </row>
    <row r="39" spans="1:44" ht="30" customHeight="1">
      <c r="A39" s="820"/>
      <c r="B39" s="357" t="s">
        <v>315</v>
      </c>
      <c r="C39" s="360"/>
      <c r="D39" s="1485"/>
      <c r="E39" s="304">
        <f>D39</f>
        <v>0</v>
      </c>
      <c r="F39" s="303"/>
      <c r="G39" s="262"/>
      <c r="H39" s="262">
        <f>SUM(D39,F39)</f>
        <v>0</v>
      </c>
      <c r="I39" s="333">
        <f>H39</f>
        <v>0</v>
      </c>
      <c r="J39" s="1485"/>
      <c r="K39" s="303"/>
      <c r="L39" s="334">
        <f>SUM(J39:K39)</f>
        <v>0</v>
      </c>
      <c r="M39" s="306">
        <f>SUM(E39,J39)</f>
        <v>0</v>
      </c>
      <c r="N39" s="262">
        <f>SUM(F39,K39)</f>
        <v>0</v>
      </c>
      <c r="O39" s="307">
        <f>SUM(M39:N39)</f>
        <v>0</v>
      </c>
      <c r="P39" s="215"/>
      <c r="Q39" s="292"/>
      <c r="R39" s="224"/>
      <c r="S39" s="225"/>
      <c r="T39" s="215"/>
      <c r="U39" s="338">
        <f>O39</f>
        <v>0</v>
      </c>
      <c r="V39" s="831"/>
      <c r="W39" s="1470"/>
      <c r="X39" s="310">
        <f>VLOOKUP($AR39,Early_Stats_Last_Year,VLOOKUP('Background Data'!$C$2,Inst_Tables,16,FALSE),FALSE)</f>
        <v>0</v>
      </c>
      <c r="Y39" s="311">
        <f>VLOOKUP($AR39,Early_Stats_Last_Year,VLOOKUP('Background Data'!$C$2,Inst_Tables,17,FALSE),FALSE)</f>
        <v>0</v>
      </c>
      <c r="Z39" s="1474">
        <f>SUM(X39:Y39)</f>
        <v>0</v>
      </c>
      <c r="AA39" s="1141"/>
      <c r="AB39" s="312" t="str">
        <f>IF(X39&gt;0,(I39-X39)/X39,"")</f>
        <v/>
      </c>
      <c r="AC39" s="313" t="str">
        <f>IF(Y39&gt;0,(L39-Y39)/Y39,"")</f>
        <v/>
      </c>
      <c r="AD39" s="1119" t="str">
        <f>IF(Z39&gt;0,(O39-Z39)/Z39,"")</f>
        <v/>
      </c>
      <c r="AE39" s="1121"/>
      <c r="AF39" s="833"/>
      <c r="AG39" s="226"/>
      <c r="AH39" s="314">
        <f>VLOOKUP($AR39,Final_Figures_Last_Year,VLOOKUP('Background Data'!$C$2,Inst_Tables,16,FALSE),FALSE)</f>
        <v>0</v>
      </c>
      <c r="AI39" s="315">
        <f>VLOOKUP($AR39,Final_Figures_Last_Year,VLOOKUP('Background Data'!$C$2,Inst_Tables,17,FALSE),FALSE)</f>
        <v>0</v>
      </c>
      <c r="AJ39" s="1506">
        <f>SUM(AH39:AI39)</f>
        <v>0</v>
      </c>
      <c r="AK39" s="1512"/>
      <c r="AL39" s="1475" t="str">
        <f>IF(AH39&gt;0,(I39-AH39)/AH39,"")</f>
        <v/>
      </c>
      <c r="AM39" s="316" t="str">
        <f>IF(AI39&gt;0,(L39-AI39)/AI39,"")</f>
        <v/>
      </c>
      <c r="AN39" s="1475" t="str">
        <f>IF(AJ39&gt;0,(O39-AJ39)/AJ39,"")</f>
        <v/>
      </c>
      <c r="AO39" s="332"/>
      <c r="AP39" s="1462"/>
      <c r="AR39" s="1543">
        <v>15</v>
      </c>
    </row>
    <row r="40" spans="1:44" ht="30" customHeight="1">
      <c r="A40" s="820"/>
      <c r="B40" s="357" t="s">
        <v>316</v>
      </c>
      <c r="C40" s="360"/>
      <c r="D40" s="1485">
        <v>130</v>
      </c>
      <c r="E40" s="304">
        <f>D40</f>
        <v>130</v>
      </c>
      <c r="F40" s="303"/>
      <c r="G40" s="262"/>
      <c r="H40" s="262">
        <f>SUM(D40,F40)</f>
        <v>130</v>
      </c>
      <c r="I40" s="333">
        <f>H40</f>
        <v>130</v>
      </c>
      <c r="J40" s="1485">
        <v>0.17</v>
      </c>
      <c r="K40" s="303"/>
      <c r="L40" s="334">
        <f>SUM(J40:K40)</f>
        <v>0.17</v>
      </c>
      <c r="M40" s="306">
        <f>SUM(E40,J40)</f>
        <v>130.16999999999999</v>
      </c>
      <c r="N40" s="262">
        <f>SUM(F40,K40)</f>
        <v>0</v>
      </c>
      <c r="O40" s="307">
        <f>SUM(M40:N40)</f>
        <v>130.16999999999999</v>
      </c>
      <c r="P40" s="215"/>
      <c r="Q40" s="292"/>
      <c r="R40" s="224"/>
      <c r="S40" s="225"/>
      <c r="T40" s="215"/>
      <c r="U40" s="338">
        <f>O40</f>
        <v>130.16999999999999</v>
      </c>
      <c r="V40" s="831"/>
      <c r="W40" s="1470"/>
      <c r="X40" s="310">
        <f>VLOOKUP($AR40,Early_Stats_Last_Year,VLOOKUP('Background Data'!$C$2,Inst_Tables,16,FALSE),FALSE)</f>
        <v>87</v>
      </c>
      <c r="Y40" s="311">
        <f>VLOOKUP($AR40,Early_Stats_Last_Year,VLOOKUP('Background Data'!$C$2,Inst_Tables,17,FALSE),FALSE)</f>
        <v>0</v>
      </c>
      <c r="Z40" s="1474">
        <f>SUM(X40:Y40)</f>
        <v>87</v>
      </c>
      <c r="AA40" s="1117"/>
      <c r="AB40" s="312">
        <f>IF(X40&gt;0,(I40-X40)/X40,"")</f>
        <v>0.4942528735632184</v>
      </c>
      <c r="AC40" s="313" t="str">
        <f>IF(Y40&gt;0,(L40-Y40)/Y40,"")</f>
        <v/>
      </c>
      <c r="AD40" s="1119">
        <f>IF(Z40&gt;0,(O40-Z40)/Z40,"")</f>
        <v>0.49620689655172401</v>
      </c>
      <c r="AE40" s="1121"/>
      <c r="AF40" s="833"/>
      <c r="AG40" s="226"/>
      <c r="AH40" s="314">
        <f>VLOOKUP($AR40,Final_Figures_Last_Year,VLOOKUP('Background Data'!$C$2,Inst_Tables,16,FALSE),FALSE)</f>
        <v>87</v>
      </c>
      <c r="AI40" s="315">
        <f>VLOOKUP($AR40,Final_Figures_Last_Year,VLOOKUP('Background Data'!$C$2,Inst_Tables,17,FALSE),FALSE)</f>
        <v>0</v>
      </c>
      <c r="AJ40" s="1506">
        <f>SUM(AH40:AI40)</f>
        <v>87</v>
      </c>
      <c r="AK40" s="1512"/>
      <c r="AL40" s="1475">
        <f>IF(AH40&gt;0,(I40-AH40)/AH40,"")</f>
        <v>0.4942528735632184</v>
      </c>
      <c r="AM40" s="316" t="str">
        <f>IF(AI40&gt;0,(L40-AI40)/AI40,"")</f>
        <v/>
      </c>
      <c r="AN40" s="1475">
        <f>IF(AJ40&gt;0,(O40-AJ40)/AJ40,"")</f>
        <v>0.49620689655172401</v>
      </c>
      <c r="AO40" s="332"/>
      <c r="AP40" s="1462"/>
      <c r="AR40" s="1543">
        <v>16</v>
      </c>
    </row>
    <row r="41" spans="1:44" ht="30" customHeight="1">
      <c r="A41" s="820"/>
      <c r="B41" s="286" t="s">
        <v>85</v>
      </c>
      <c r="C41" s="372"/>
      <c r="D41" s="1492"/>
      <c r="E41" s="373"/>
      <c r="F41" s="374"/>
      <c r="G41" s="375"/>
      <c r="H41" s="375"/>
      <c r="I41" s="376"/>
      <c r="J41" s="1492"/>
      <c r="K41" s="374"/>
      <c r="L41" s="376"/>
      <c r="M41" s="375"/>
      <c r="N41" s="375"/>
      <c r="O41" s="376"/>
      <c r="P41" s="215"/>
      <c r="Q41" s="292"/>
      <c r="R41" s="224"/>
      <c r="S41" s="293"/>
      <c r="T41" s="215"/>
      <c r="U41" s="267"/>
      <c r="V41" s="831"/>
      <c r="W41" s="1470"/>
      <c r="X41" s="377"/>
      <c r="Y41" s="378"/>
      <c r="Z41" s="378"/>
      <c r="AA41" s="297"/>
      <c r="AB41" s="296"/>
      <c r="AC41" s="295"/>
      <c r="AD41" s="395"/>
      <c r="AE41" s="331"/>
      <c r="AF41" s="833"/>
      <c r="AG41" s="226"/>
      <c r="AH41" s="379"/>
      <c r="AI41" s="380"/>
      <c r="AJ41" s="1505"/>
      <c r="AK41" s="332"/>
      <c r="AL41" s="226"/>
      <c r="AM41" s="299"/>
      <c r="AN41" s="226"/>
      <c r="AO41" s="332"/>
      <c r="AP41" s="1462"/>
      <c r="AR41" s="1544"/>
    </row>
    <row r="42" spans="1:44" ht="30" customHeight="1">
      <c r="A42" s="820"/>
      <c r="B42" s="301" t="s">
        <v>161</v>
      </c>
      <c r="C42" s="305">
        <v>2.8</v>
      </c>
      <c r="D42" s="1485">
        <v>4881</v>
      </c>
      <c r="E42" s="304">
        <f>SUM(C42:D42)</f>
        <v>4883.8</v>
      </c>
      <c r="F42" s="303"/>
      <c r="G42" s="262">
        <f t="shared" ref="G42:G43" si="12">C42</f>
        <v>2.8</v>
      </c>
      <c r="H42" s="262">
        <f>SUM(D42,F42)</f>
        <v>4881</v>
      </c>
      <c r="I42" s="333">
        <f>SUM(G42:H42)</f>
        <v>4883.8</v>
      </c>
      <c r="J42" s="305">
        <v>9.4700000000000006</v>
      </c>
      <c r="K42" s="303"/>
      <c r="L42" s="334">
        <f>SUM(J42:K42)</f>
        <v>9.4700000000000006</v>
      </c>
      <c r="M42" s="306">
        <f>SUM(E42,J42)</f>
        <v>4893.2700000000004</v>
      </c>
      <c r="N42" s="262">
        <f>SUM(F42,K42)</f>
        <v>0</v>
      </c>
      <c r="O42" s="307">
        <f>SUM(M42:N42)</f>
        <v>4893.2700000000004</v>
      </c>
      <c r="P42" s="215"/>
      <c r="Q42" s="292"/>
      <c r="R42" s="224"/>
      <c r="S42" s="293"/>
      <c r="T42" s="215"/>
      <c r="U42" s="267"/>
      <c r="V42" s="831"/>
      <c r="W42" s="1470"/>
      <c r="X42" s="310">
        <f>VLOOKUP($AR42,Early_Stats_Last_Year,VLOOKUP('Background Data'!$C$2,Inst_Tables,16,FALSE),FALSE)</f>
        <v>4782.97</v>
      </c>
      <c r="Y42" s="311">
        <f>VLOOKUP($AR42,Early_Stats_Last_Year,VLOOKUP('Background Data'!$C$2,Inst_Tables,17,FALSE),FALSE)</f>
        <v>26.46</v>
      </c>
      <c r="Z42" s="1474">
        <f>SUM(X42:Y42)</f>
        <v>4809.43</v>
      </c>
      <c r="AA42" s="1141"/>
      <c r="AB42" s="312">
        <f>IF(X42&gt;0,(I42-X42)/X42,"")</f>
        <v>2.1081043786601195E-2</v>
      </c>
      <c r="AC42" s="313">
        <f>IF(Y42&gt;0,(L42-Y42)/Y42,"")</f>
        <v>-0.64210128495842789</v>
      </c>
      <c r="AD42" s="1119">
        <f>IF(Z42&gt;0,(O42-Z42)/Z42,"")</f>
        <v>1.7432419226394841E-2</v>
      </c>
      <c r="AE42" s="1121"/>
      <c r="AF42" s="833"/>
      <c r="AG42" s="226"/>
      <c r="AH42" s="314">
        <f>VLOOKUP($AR42,Final_Figures_Last_Year,VLOOKUP('Background Data'!$C$2,Inst_Tables,16,FALSE),FALSE)</f>
        <v>4768.4470000000001</v>
      </c>
      <c r="AI42" s="315">
        <f>VLOOKUP($AR42,Final_Figures_Last_Year,VLOOKUP('Background Data'!$C$2,Inst_Tables,17,FALSE),FALSE)</f>
        <v>18.88</v>
      </c>
      <c r="AJ42" s="1506">
        <f>SUM(AH42:AI42)</f>
        <v>4787.3270000000002</v>
      </c>
      <c r="AK42" s="1512"/>
      <c r="AL42" s="1475">
        <f>IF(AH42&gt;0,(I42-AH42)/AH42,"")</f>
        <v>2.4190894855285184E-2</v>
      </c>
      <c r="AM42" s="316">
        <f>IF(AI42&gt;0,(L42-AI42)/AI42,"")</f>
        <v>-0.49841101694915246</v>
      </c>
      <c r="AN42" s="1475">
        <f>IF(AJ42&gt;0,(O42-AJ42)/AJ42,"")</f>
        <v>2.2129885842350063E-2</v>
      </c>
      <c r="AO42" s="332"/>
      <c r="AP42" s="1462"/>
      <c r="AR42" s="1543">
        <v>17</v>
      </c>
    </row>
    <row r="43" spans="1:44" ht="30" customHeight="1">
      <c r="A43" s="820"/>
      <c r="B43" s="301" t="s">
        <v>162</v>
      </c>
      <c r="C43" s="305">
        <v>8</v>
      </c>
      <c r="D43" s="1485">
        <v>6276.0050000000001</v>
      </c>
      <c r="E43" s="304">
        <f>SUM(C43:D43)</f>
        <v>6284.0050000000001</v>
      </c>
      <c r="F43" s="303">
        <v>61</v>
      </c>
      <c r="G43" s="262">
        <f t="shared" si="12"/>
        <v>8</v>
      </c>
      <c r="H43" s="262">
        <f>SUM(D43,F43)</f>
        <v>6337.0050000000001</v>
      </c>
      <c r="I43" s="333">
        <f>SUM(G43:H43)</f>
        <v>6345.0050000000001</v>
      </c>
      <c r="J43" s="305">
        <v>203.66</v>
      </c>
      <c r="K43" s="303">
        <v>9.6999999999999993</v>
      </c>
      <c r="L43" s="334">
        <f>SUM(J43:K43)</f>
        <v>213.35999999999999</v>
      </c>
      <c r="M43" s="306">
        <f>SUM(E43,J43)</f>
        <v>6487.665</v>
      </c>
      <c r="N43" s="262">
        <f>SUM(F43,K43)</f>
        <v>70.7</v>
      </c>
      <c r="O43" s="307">
        <f>SUM(M43:N43)</f>
        <v>6558.3649999999998</v>
      </c>
      <c r="P43" s="215"/>
      <c r="Q43" s="292"/>
      <c r="R43" s="224"/>
      <c r="S43" s="293"/>
      <c r="T43" s="215"/>
      <c r="U43" s="267"/>
      <c r="V43" s="831"/>
      <c r="W43" s="1470"/>
      <c r="X43" s="310">
        <f>VLOOKUP($AR43,Early_Stats_Last_Year,VLOOKUP('Background Data'!$C$2,Inst_Tables,16,FALSE),FALSE)</f>
        <v>6239.9</v>
      </c>
      <c r="Y43" s="311">
        <f>VLOOKUP($AR43,Early_Stats_Last_Year,VLOOKUP('Background Data'!$C$2,Inst_Tables,17,FALSE),FALSE)</f>
        <v>70.27</v>
      </c>
      <c r="Z43" s="1474">
        <f>SUM(X43:Y43)</f>
        <v>6310.17</v>
      </c>
      <c r="AA43" s="1141"/>
      <c r="AB43" s="312">
        <f>IF(X43&gt;0,(SUM(I40,I43)-X43)/X43,"")</f>
        <v>3.7677687142422235E-2</v>
      </c>
      <c r="AC43" s="313">
        <f>IF(Y43&gt;0,(SUM(L40,L43)-Y43)/Y43,"")</f>
        <v>2.0387078411840047</v>
      </c>
      <c r="AD43" s="1119">
        <f>IF(Z43&gt;0,(SUM(O40,O43)-Z43)/Z43,"")</f>
        <v>5.9961142092843742E-2</v>
      </c>
      <c r="AE43" s="1121"/>
      <c r="AF43" s="833"/>
      <c r="AG43" s="226"/>
      <c r="AH43" s="314">
        <f>VLOOKUP($AR43,Final_Figures_Last_Year,VLOOKUP('Background Data'!$C$2,Inst_Tables,16,FALSE),FALSE)</f>
        <v>6300.0010000000002</v>
      </c>
      <c r="AI43" s="315">
        <f>VLOOKUP($AR43,Final_Figures_Last_Year,VLOOKUP('Background Data'!$C$2,Inst_Tables,17,FALSE),FALSE)</f>
        <v>79.662000000000006</v>
      </c>
      <c r="AJ43" s="1506">
        <f>SUM(AH43:AI43)</f>
        <v>6379.6630000000005</v>
      </c>
      <c r="AK43" s="1512"/>
      <c r="AL43" s="1475">
        <f>IF(AH43&gt;0,(SUM(I40,I43)-AH43)/AH43,"")</f>
        <v>2.7778408289141524E-2</v>
      </c>
      <c r="AM43" s="316">
        <f>IF(AI43&gt;0,(SUM(L40,L43)-AI43)/AI43,"")</f>
        <v>1.6804499008310105</v>
      </c>
      <c r="AN43" s="1475">
        <f>IF(AJ43&gt;0,(SUM(O40,O43)-AJ43)/AJ43,"")</f>
        <v>4.8415096534095821E-2</v>
      </c>
      <c r="AO43" s="332"/>
      <c r="AP43" s="1462"/>
      <c r="AR43" s="1543">
        <v>18</v>
      </c>
    </row>
    <row r="44" spans="1:44" ht="35.1" customHeight="1" thickBot="1">
      <c r="A44" s="820"/>
      <c r="B44" s="381" t="s">
        <v>2</v>
      </c>
      <c r="C44" s="318">
        <f>SUM(C29:C31,C34:C37,C42:C43)</f>
        <v>58.8</v>
      </c>
      <c r="D44" s="319">
        <f>SUM(D29:D32,D34:D37,D39:D40,D42:D43)</f>
        <v>13033.705</v>
      </c>
      <c r="E44" s="321">
        <f>SUM(E29:E32,E34:E37,E39:E40,E42:E43)</f>
        <v>13092.505000000001</v>
      </c>
      <c r="F44" s="319">
        <f>SUM(F29:F32,F34:F37,F39:F40,F42:F43)</f>
        <v>73.099999999999994</v>
      </c>
      <c r="G44" s="319">
        <f>SUM(G29:G31,G34:G37,G42:G43)</f>
        <v>58.8</v>
      </c>
      <c r="H44" s="319">
        <f t="shared" ref="H44:O44" si="13">SUM(H29:H32,H34:H37,H39:H40,H42:H43)</f>
        <v>13106.805</v>
      </c>
      <c r="I44" s="320">
        <f t="shared" si="13"/>
        <v>13165.605</v>
      </c>
      <c r="J44" s="318">
        <f t="shared" si="13"/>
        <v>218.9</v>
      </c>
      <c r="K44" s="319">
        <f t="shared" si="13"/>
        <v>10.399999999999999</v>
      </c>
      <c r="L44" s="321">
        <f t="shared" si="13"/>
        <v>229.29999999999998</v>
      </c>
      <c r="M44" s="318">
        <f t="shared" si="13"/>
        <v>13311.405000000001</v>
      </c>
      <c r="N44" s="319">
        <f t="shared" si="13"/>
        <v>83.5</v>
      </c>
      <c r="O44" s="320">
        <f t="shared" si="13"/>
        <v>13394.905000000001</v>
      </c>
      <c r="P44" s="215"/>
      <c r="Q44" s="322"/>
      <c r="R44" s="323"/>
      <c r="S44" s="324"/>
      <c r="T44" s="215"/>
      <c r="U44" s="325"/>
      <c r="V44" s="831"/>
      <c r="W44" s="1470"/>
      <c r="X44" s="382">
        <f>SUM(X29:X32,X34:X37,X39:X40,X42:X43)</f>
        <v>13027.869999999999</v>
      </c>
      <c r="Y44" s="326">
        <f>SUM(Y29:Y32,Y34:Y37,Y39:Y40,Y42:Y43)</f>
        <v>106.21</v>
      </c>
      <c r="Z44" s="326">
        <f>SUM(Z29:Z32,Z34:Z37,Z39:Z40,Z42:Z43)</f>
        <v>13134.08</v>
      </c>
      <c r="AA44" s="1116"/>
      <c r="AB44" s="327">
        <f>IF(X44&gt;0,(I44-X44)/X44,"")</f>
        <v>1.0572334541256598E-2</v>
      </c>
      <c r="AC44" s="328">
        <f>IF(Y44&gt;0,(L44-Y44)/Y44,"")</f>
        <v>1.1589304208643254</v>
      </c>
      <c r="AD44" s="1120">
        <f>IF(Z44&gt;0,(O44-Z44)/Z44,"")</f>
        <v>1.9858642554331993E-2</v>
      </c>
      <c r="AE44" s="1122"/>
      <c r="AF44" s="833"/>
      <c r="AG44" s="226"/>
      <c r="AH44" s="383">
        <f>SUM(AH29:AH32,AH34:AH37,AH39:AH40,AH42:AH43)</f>
        <v>13084.01</v>
      </c>
      <c r="AI44" s="329">
        <f>SUM(AI29:AI32,AI34:AI37,AI39:AI40,AI42:AI43)</f>
        <v>108.69200000000001</v>
      </c>
      <c r="AJ44" s="329">
        <f>SUM(AJ29:AJ32,AJ34:AJ37,AJ39:AJ40,AJ42:AJ43)</f>
        <v>13192.702000000001</v>
      </c>
      <c r="AK44" s="457"/>
      <c r="AL44" s="460">
        <f>IF(AH44&gt;0,(I44-AH44)/AH44,"")</f>
        <v>6.2362379729149816E-3</v>
      </c>
      <c r="AM44" s="330">
        <f>IF(AI44&gt;0,(L44-AI44)/AI44,"")</f>
        <v>1.1096308835976887</v>
      </c>
      <c r="AN44" s="460">
        <f>IF(AJ44&gt;0,(O44-AJ44)/AJ44,"")</f>
        <v>1.5326882999403723E-2</v>
      </c>
      <c r="AO44" s="332"/>
      <c r="AP44" s="1462"/>
      <c r="AR44" s="1545"/>
    </row>
    <row r="45" spans="1:44" ht="35.1" customHeight="1" thickBot="1">
      <c r="A45" s="820"/>
      <c r="B45" s="251" t="s">
        <v>91</v>
      </c>
      <c r="C45" s="384"/>
      <c r="D45" s="385"/>
      <c r="E45" s="386">
        <f>SUM(E13,E19,E25,E44)</f>
        <v>15749.505000000001</v>
      </c>
      <c r="F45" s="386">
        <f>SUM(F13,F19,F25,F44)</f>
        <v>80.099999999999994</v>
      </c>
      <c r="G45" s="387"/>
      <c r="H45" s="387"/>
      <c r="I45" s="263">
        <f>SUM(I13,I19,I25,I44)</f>
        <v>15829.605</v>
      </c>
      <c r="J45" s="388">
        <f t="shared" ref="J45:N45" si="14">SUM(J13,J19,J25,J44)</f>
        <v>843.81999999999994</v>
      </c>
      <c r="K45" s="389">
        <f t="shared" si="14"/>
        <v>149.69999999999999</v>
      </c>
      <c r="L45" s="386">
        <f>SUM(L13,L19,L25,L44)</f>
        <v>993.52</v>
      </c>
      <c r="M45" s="390">
        <f t="shared" si="14"/>
        <v>16593.325000000001</v>
      </c>
      <c r="N45" s="389">
        <f t="shared" si="14"/>
        <v>229.79999999999998</v>
      </c>
      <c r="O45" s="263">
        <f>SUM(O13,O19,O25,O44)</f>
        <v>16823.125</v>
      </c>
      <c r="P45" s="215"/>
      <c r="Q45" s="322"/>
      <c r="R45" s="323"/>
      <c r="S45" s="324"/>
      <c r="T45" s="215"/>
      <c r="U45" s="325"/>
      <c r="V45" s="831"/>
      <c r="W45" s="1470"/>
      <c r="X45" s="391">
        <f>SUM(X13,X19,X25,X44)</f>
        <v>15536.97</v>
      </c>
      <c r="Y45" s="392">
        <f>SUM(Y13,Y19,Y25,Y44)</f>
        <v>946.23</v>
      </c>
      <c r="Z45" s="392">
        <f>SUM(Z13,Z19,Z25,Z44)</f>
        <v>16483.2</v>
      </c>
      <c r="AA45" s="1116"/>
      <c r="AB45" s="327">
        <f>IF(X45&gt;0,(I45-X45)/X45,"")</f>
        <v>1.8834753494407226E-2</v>
      </c>
      <c r="AC45" s="328">
        <f>IF(Y45&gt;0,(L45-Y45)/Y45,"")</f>
        <v>4.9977278251587841E-2</v>
      </c>
      <c r="AD45" s="1120">
        <f>IF(Z45&gt;0,(O45-Z45)/Z45,"")</f>
        <v>2.0622512618908906E-2</v>
      </c>
      <c r="AE45" s="1144"/>
      <c r="AF45" s="833"/>
      <c r="AG45" s="226"/>
      <c r="AH45" s="393">
        <f>SUM(AH13,AH19,AH25,AH44)</f>
        <v>15523.01</v>
      </c>
      <c r="AI45" s="394">
        <f>SUM(AI13,AI19,AI25,AI44)</f>
        <v>1003.232</v>
      </c>
      <c r="AJ45" s="1503">
        <f>SUM(AJ13,AJ19,AJ25,AJ44)</f>
        <v>16526.242000000002</v>
      </c>
      <c r="AK45" s="457"/>
      <c r="AL45" s="460">
        <f>IF(AH45&gt;0,(I45-AH45)/AH45,"")</f>
        <v>1.9751001899760378E-2</v>
      </c>
      <c r="AM45" s="330">
        <f>IF(AI45&gt;0,(L45-AI45)/AI45,"")</f>
        <v>-9.6807119390130997E-3</v>
      </c>
      <c r="AN45" s="460">
        <f>IF(AJ45&gt;0,(O45-AJ45)/AJ45,"")</f>
        <v>1.7964338171981141E-2</v>
      </c>
      <c r="AO45" s="1501"/>
      <c r="AP45" s="1462"/>
      <c r="AR45" s="1540"/>
    </row>
    <row r="46" spans="1:44">
      <c r="A46" s="1493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831"/>
      <c r="W46" s="1470"/>
      <c r="X46" s="395"/>
      <c r="Y46" s="395"/>
      <c r="Z46" s="395"/>
      <c r="AA46" s="395"/>
      <c r="AB46" s="395"/>
      <c r="AC46" s="395"/>
      <c r="AD46" s="395"/>
      <c r="AE46" s="395"/>
      <c r="AF46" s="833"/>
      <c r="AG46" s="226"/>
      <c r="AH46" s="226"/>
      <c r="AI46" s="226"/>
      <c r="AJ46" s="226"/>
      <c r="AK46" s="226"/>
      <c r="AL46" s="226"/>
      <c r="AM46" s="226"/>
      <c r="AN46" s="226"/>
      <c r="AO46" s="226"/>
      <c r="AP46" s="1462"/>
      <c r="AR46" s="1540"/>
    </row>
    <row r="47" spans="1:44">
      <c r="A47" s="1493"/>
      <c r="B47" s="396"/>
      <c r="C47" s="1083" t="s">
        <v>293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831"/>
      <c r="W47" s="1470"/>
      <c r="X47" s="1729"/>
      <c r="Y47" s="1729"/>
      <c r="Z47" s="1730"/>
      <c r="AA47" s="1730"/>
      <c r="AB47" s="1731"/>
      <c r="AC47" s="1731"/>
      <c r="AD47" s="1731"/>
      <c r="AE47" s="1731"/>
      <c r="AF47" s="1732"/>
      <c r="AG47" s="1733"/>
      <c r="AH47" s="1734"/>
      <c r="AI47" s="1734"/>
      <c r="AJ47" s="1734"/>
      <c r="AK47" s="398"/>
      <c r="AL47" s="226"/>
      <c r="AM47" s="226"/>
      <c r="AN47" s="226"/>
      <c r="AO47" s="226"/>
      <c r="AP47" s="1462"/>
      <c r="AR47" s="1546">
        <v>19</v>
      </c>
    </row>
    <row r="48" spans="1:44">
      <c r="A48" s="1493"/>
      <c r="B48" s="396"/>
      <c r="C48" s="1083" t="s">
        <v>426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831"/>
      <c r="W48" s="1470"/>
      <c r="X48" s="397"/>
      <c r="Y48" s="397"/>
      <c r="Z48" s="397"/>
      <c r="AA48" s="397"/>
      <c r="AB48" s="395"/>
      <c r="AC48" s="395"/>
      <c r="AD48" s="395"/>
      <c r="AE48" s="395"/>
      <c r="AF48" s="833"/>
      <c r="AG48" s="226"/>
      <c r="AH48" s="398"/>
      <c r="AI48" s="398"/>
      <c r="AJ48" s="398"/>
      <c r="AK48" s="398"/>
      <c r="AL48" s="226"/>
      <c r="AM48" s="226"/>
      <c r="AN48" s="226"/>
      <c r="AO48" s="226"/>
      <c r="AP48" s="1462"/>
      <c r="AR48" s="1546"/>
    </row>
    <row r="49" spans="1:42" ht="24.95" customHeight="1">
      <c r="A49" s="1493"/>
      <c r="B49" s="215"/>
      <c r="C49" s="1084" t="s">
        <v>92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831"/>
      <c r="W49" s="1470"/>
      <c r="X49" s="399"/>
      <c r="Y49" s="399"/>
      <c r="Z49" s="399"/>
      <c r="AA49" s="399"/>
      <c r="AB49" s="395"/>
      <c r="AC49" s="395"/>
      <c r="AD49" s="395"/>
      <c r="AE49" s="395"/>
      <c r="AF49" s="833"/>
      <c r="AG49" s="226"/>
      <c r="AH49" s="226"/>
      <c r="AI49" s="226"/>
      <c r="AJ49" s="226"/>
      <c r="AK49" s="226"/>
      <c r="AL49" s="226"/>
      <c r="AM49" s="226"/>
      <c r="AN49" s="226"/>
      <c r="AO49" s="226"/>
      <c r="AP49" s="1462"/>
    </row>
    <row r="50" spans="1:42">
      <c r="A50" s="824"/>
      <c r="B50" s="1494"/>
      <c r="C50" s="1085"/>
      <c r="D50" s="1494"/>
      <c r="E50" s="1494"/>
      <c r="F50" s="1494"/>
      <c r="G50" s="1494"/>
      <c r="H50" s="1494"/>
      <c r="I50" s="1494"/>
      <c r="J50" s="1494"/>
      <c r="K50" s="1494"/>
      <c r="L50" s="1494"/>
      <c r="M50" s="1494"/>
      <c r="N50" s="1494"/>
      <c r="O50" s="1494"/>
      <c r="P50" s="1494"/>
      <c r="Q50" s="1494"/>
      <c r="R50" s="1494"/>
      <c r="S50" s="1494"/>
      <c r="T50" s="1494"/>
      <c r="U50" s="1494"/>
      <c r="V50" s="835"/>
      <c r="W50" s="836"/>
      <c r="X50" s="1110"/>
      <c r="Y50" s="1110"/>
      <c r="Z50" s="1110"/>
      <c r="AA50" s="1110"/>
      <c r="AB50" s="1110"/>
      <c r="AC50" s="1110"/>
      <c r="AD50" s="1110"/>
      <c r="AE50" s="1110"/>
      <c r="AF50" s="837"/>
      <c r="AG50" s="1431"/>
      <c r="AH50" s="1431"/>
      <c r="AI50" s="1431"/>
      <c r="AJ50" s="1431"/>
      <c r="AK50" s="1431"/>
      <c r="AL50" s="1431"/>
      <c r="AM50" s="1431"/>
      <c r="AN50" s="1431"/>
      <c r="AO50" s="1431"/>
      <c r="AP50" s="1495"/>
    </row>
    <row r="53" spans="1:42" ht="18.75" customHeight="1"/>
  </sheetData>
  <sheetProtection password="E23E" sheet="1" objects="1" scenarios="1"/>
  <mergeCells count="32">
    <mergeCell ref="AH4:AN4"/>
    <mergeCell ref="C6:O6"/>
    <mergeCell ref="C8:E8"/>
    <mergeCell ref="G8:I8"/>
    <mergeCell ref="Q6:S7"/>
    <mergeCell ref="M7:O7"/>
    <mergeCell ref="AA6:AA9"/>
    <mergeCell ref="AB6:AE6"/>
    <mergeCell ref="X4:AE4"/>
    <mergeCell ref="AB8:AB9"/>
    <mergeCell ref="AC8:AC9"/>
    <mergeCell ref="AB7:AD7"/>
    <mergeCell ref="AE7:AE9"/>
    <mergeCell ref="AR6:AR9"/>
    <mergeCell ref="J8:J9"/>
    <mergeCell ref="AH6:AJ6"/>
    <mergeCell ref="AH7:AH9"/>
    <mergeCell ref="AI7:AI9"/>
    <mergeCell ref="AL7:AL9"/>
    <mergeCell ref="AM7:AM9"/>
    <mergeCell ref="AK6:AK9"/>
    <mergeCell ref="AO7:AO9"/>
    <mergeCell ref="AL6:AO6"/>
    <mergeCell ref="C3:E3"/>
    <mergeCell ref="X7:X9"/>
    <mergeCell ref="Y7:Y9"/>
    <mergeCell ref="X6:Z6"/>
    <mergeCell ref="U6:U9"/>
    <mergeCell ref="C7:I7"/>
    <mergeCell ref="J7:L7"/>
    <mergeCell ref="M8:M9"/>
    <mergeCell ref="Q8:Q9"/>
  </mergeCells>
  <dataValidations count="1">
    <dataValidation allowBlank="1" sqref="B6 I1:I3 K8:L13 X1:X4 B9 Q1:S3 T7:T12 T1:T4 R4:S5 C6:C12 I4:L4 K1:L3 D9:E12 M1:N4 H9:I12 M10:M12 X47:Y48 J45:O45 T5:V6 V1:V4 Q4:Q6 AE7 X6:X7 J10:J13 Q8 R8:S11 AB6:AB8 AB5:AE5 AC8:AD8 J7:J8 AH4 M7:M8 AM7:AN7 AH47:AK47 AP1:EC3 AH6:AH7 AL6:AL7 AH5:AN5 N8:P12 Q12:S12 Q10:Q11 U10:U45 AI7:AJ7 AF4:AG45 AR10:AR12 I5:P5 W1:W45 V7:V45 M13:O44 J14:L44 B13:I45 P13:T45 F8:G12 X10:AE45 Y7:Z7 AS7:EA45 AH48:AI48 AO7:AQ45 AP4:DZ6 AO4:AO5 AH10:AN45"/>
  </dataValidations>
  <pageMargins left="0.15748031496062992" right="0.15748031496062992" top="0.15748031496062992" bottom="0.15748031496062992" header="0.15748031496062992" footer="0.15748031496062992"/>
  <pageSetup paperSize="9" scale="38" fitToWidth="2" orientation="landscape" r:id="rId1"/>
  <headerFooter alignWithMargins="0"/>
  <colBreaks count="1" manualBreakCount="1">
    <brk id="22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opLeftCell="I21" zoomScale="90" zoomScaleNormal="90" workbookViewId="0">
      <selection activeCell="C20" sqref="C20"/>
    </sheetView>
  </sheetViews>
  <sheetFormatPr defaultColWidth="9.140625" defaultRowHeight="15"/>
  <cols>
    <col min="1" max="1" width="2.7109375" style="1547" customWidth="1"/>
    <col min="2" max="2" width="40.7109375" style="1547" customWidth="1"/>
    <col min="3" max="6" width="12.7109375" style="1547" customWidth="1"/>
    <col min="7" max="13" width="11.7109375" style="1547" customWidth="1"/>
    <col min="14" max="15" width="4.7109375" style="1553" customWidth="1"/>
    <col min="16" max="16" width="25.28515625" style="1547" customWidth="1"/>
    <col min="17" max="17" width="34.42578125" style="1547" customWidth="1"/>
    <col min="18" max="19" width="12.7109375" style="1547" customWidth="1"/>
    <col min="20" max="20" width="25.7109375" style="1547" customWidth="1"/>
    <col min="21" max="21" width="6" style="1547" customWidth="1"/>
    <col min="22" max="22" width="10.5703125" style="1547" customWidth="1"/>
    <col min="23" max="29" width="11.7109375" style="1547" hidden="1" customWidth="1"/>
    <col min="30" max="30" width="9.140625" style="1547" hidden="1" customWidth="1"/>
    <col min="31" max="31" width="11.7109375" style="1547" hidden="1" customWidth="1"/>
    <col min="32" max="35" width="9.140625" style="1547" hidden="1" customWidth="1"/>
    <col min="36" max="16384" width="9.140625" style="1547"/>
  </cols>
  <sheetData>
    <row r="1" spans="1:33" ht="39.950000000000003" customHeight="1">
      <c r="A1" s="1405"/>
      <c r="B1" s="461" t="str">
        <f>IF(F4=0,"Your Institution Does Not Complete This Table","")</f>
        <v/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7"/>
      <c r="Q1" s="7"/>
      <c r="R1" s="7"/>
      <c r="S1" s="7"/>
      <c r="T1" s="7"/>
      <c r="U1" s="7"/>
    </row>
    <row r="2" spans="1:33" ht="30" customHeight="1">
      <c r="A2" s="841"/>
      <c r="B2" s="743" t="s">
        <v>342</v>
      </c>
      <c r="C2" s="9"/>
      <c r="D2" s="9"/>
      <c r="E2" s="9"/>
      <c r="F2" s="1703"/>
      <c r="G2" s="9"/>
      <c r="H2" s="9"/>
      <c r="I2" s="9"/>
      <c r="J2" s="9"/>
      <c r="K2" s="9"/>
      <c r="L2" s="9"/>
      <c r="M2" s="10"/>
      <c r="N2" s="11"/>
      <c r="O2" s="779"/>
      <c r="P2" s="12"/>
      <c r="Q2" s="12"/>
      <c r="R2" s="12"/>
      <c r="S2" s="12"/>
      <c r="T2" s="12"/>
      <c r="U2" s="12"/>
    </row>
    <row r="3" spans="1:33" ht="15" customHeight="1">
      <c r="A3" s="752"/>
      <c r="B3" s="838"/>
      <c r="C3" s="13"/>
      <c r="D3" s="13"/>
      <c r="E3" s="783"/>
      <c r="F3" s="13"/>
      <c r="G3" s="13"/>
      <c r="H3" s="13"/>
      <c r="I3" s="13"/>
      <c r="J3" s="13"/>
      <c r="K3" s="13"/>
      <c r="L3" s="13"/>
      <c r="M3" s="13"/>
      <c r="N3" s="14"/>
      <c r="O3" s="28"/>
      <c r="P3" s="12"/>
      <c r="Q3" s="12"/>
      <c r="R3" s="12"/>
      <c r="S3" s="12"/>
      <c r="T3" s="12"/>
      <c r="U3" s="12"/>
    </row>
    <row r="4" spans="1:33" ht="35.1" customHeight="1">
      <c r="A4" s="752"/>
      <c r="B4" s="839" t="s">
        <v>0</v>
      </c>
      <c r="C4" s="1839" t="str">
        <f>VLOOKUP('Background Data'!$C$2,Inst_Tables,2,FALSE)</f>
        <v>Glasgow, University of</v>
      </c>
      <c r="D4" s="1840"/>
      <c r="E4" s="1841"/>
      <c r="F4" s="780">
        <f>VLOOKUP('Background Data'!$C$2,Inst_Tables,3,FALSE)</f>
        <v>1</v>
      </c>
      <c r="G4" s="414"/>
      <c r="H4" s="15"/>
      <c r="I4" s="414"/>
      <c r="J4" s="13"/>
      <c r="K4" s="13"/>
      <c r="L4" s="13"/>
      <c r="M4" s="13"/>
      <c r="N4" s="14"/>
      <c r="O4" s="28"/>
      <c r="P4" s="12"/>
      <c r="Q4" s="12"/>
      <c r="R4" s="12"/>
      <c r="S4" s="12"/>
      <c r="T4" s="12"/>
      <c r="U4" s="12"/>
    </row>
    <row r="5" spans="1:33" ht="30" customHeight="1">
      <c r="A5" s="752"/>
      <c r="B5" s="19" t="s">
        <v>352</v>
      </c>
      <c r="C5" s="16"/>
      <c r="D5" s="16"/>
      <c r="E5" s="784"/>
      <c r="F5" s="17"/>
      <c r="G5" s="18"/>
      <c r="H5" s="18"/>
      <c r="I5" s="13"/>
      <c r="J5" s="13"/>
      <c r="K5" s="13"/>
      <c r="L5" s="13"/>
      <c r="M5" s="13"/>
      <c r="N5" s="14"/>
      <c r="O5" s="28"/>
      <c r="P5" s="12"/>
      <c r="Q5" s="12"/>
      <c r="R5" s="12"/>
      <c r="S5" s="12"/>
      <c r="T5" s="12"/>
      <c r="U5" s="12"/>
    </row>
    <row r="6" spans="1:33" ht="24.95" customHeight="1">
      <c r="A6" s="752"/>
      <c r="B6" s="19" t="s">
        <v>427</v>
      </c>
      <c r="C6" s="16"/>
      <c r="D6" s="16"/>
      <c r="E6" s="17"/>
      <c r="F6" s="17"/>
      <c r="G6" s="18"/>
      <c r="H6" s="18"/>
      <c r="I6" s="13"/>
      <c r="J6" s="13"/>
      <c r="K6" s="13"/>
      <c r="L6" s="13"/>
      <c r="M6" s="13"/>
      <c r="N6" s="14"/>
      <c r="O6" s="28"/>
      <c r="P6" s="12"/>
      <c r="Q6" s="12"/>
      <c r="R6" s="12"/>
      <c r="S6" s="12"/>
      <c r="T6" s="12"/>
      <c r="U6" s="12"/>
    </row>
    <row r="7" spans="1:33" ht="15" customHeight="1" thickBot="1">
      <c r="A7" s="752"/>
      <c r="B7" s="840"/>
      <c r="C7" s="13"/>
      <c r="D7" s="13"/>
      <c r="E7" s="785"/>
      <c r="F7" s="13"/>
      <c r="G7" s="13"/>
      <c r="H7" s="13"/>
      <c r="I7" s="13"/>
      <c r="J7" s="13"/>
      <c r="K7" s="13"/>
      <c r="L7" s="13"/>
      <c r="M7" s="13"/>
      <c r="N7" s="14"/>
      <c r="O7" s="28"/>
      <c r="P7" s="12"/>
      <c r="Q7" s="12"/>
      <c r="R7" s="12"/>
      <c r="S7" s="12"/>
      <c r="T7" s="12"/>
      <c r="U7" s="12"/>
    </row>
    <row r="8" spans="1:33" ht="35.1" customHeight="1">
      <c r="A8" s="752"/>
      <c r="B8" s="842"/>
      <c r="C8" s="1830" t="s">
        <v>364</v>
      </c>
      <c r="D8" s="1825"/>
      <c r="E8" s="1831"/>
      <c r="F8" s="1828" t="s">
        <v>421</v>
      </c>
      <c r="G8" s="1825" t="s">
        <v>347</v>
      </c>
      <c r="H8" s="1826"/>
      <c r="I8" s="1826"/>
      <c r="J8" s="1826"/>
      <c r="K8" s="1826"/>
      <c r="L8" s="1826"/>
      <c r="M8" s="1827"/>
      <c r="N8" s="14"/>
      <c r="O8" s="28"/>
      <c r="P8" s="12"/>
      <c r="Q8" s="12"/>
      <c r="R8" s="12"/>
      <c r="S8" s="12"/>
      <c r="T8" s="12"/>
      <c r="U8" s="12"/>
      <c r="W8" s="1816" t="s">
        <v>211</v>
      </c>
      <c r="X8" s="1816" t="s">
        <v>212</v>
      </c>
      <c r="Y8" s="1816" t="s">
        <v>213</v>
      </c>
      <c r="Z8" s="1816" t="s">
        <v>194</v>
      </c>
      <c r="AA8" s="1816" t="s">
        <v>214</v>
      </c>
      <c r="AB8" s="1816" t="s">
        <v>215</v>
      </c>
      <c r="AC8" s="1816" t="s">
        <v>216</v>
      </c>
    </row>
    <row r="9" spans="1:33" ht="35.1" customHeight="1">
      <c r="A9" s="752"/>
      <c r="B9" s="1815" t="s">
        <v>208</v>
      </c>
      <c r="C9" s="1817" t="s">
        <v>419</v>
      </c>
      <c r="D9" s="1819" t="s">
        <v>156</v>
      </c>
      <c r="E9" s="1820" t="s">
        <v>420</v>
      </c>
      <c r="F9" s="1829"/>
      <c r="G9" s="1822" t="s">
        <v>28</v>
      </c>
      <c r="H9" s="1823"/>
      <c r="I9" s="1823"/>
      <c r="J9" s="1823"/>
      <c r="K9" s="1823"/>
      <c r="L9" s="1823"/>
      <c r="M9" s="1824"/>
      <c r="N9" s="14"/>
      <c r="O9" s="28"/>
      <c r="P9" s="12"/>
      <c r="Q9" s="12"/>
      <c r="R9" s="12"/>
      <c r="S9" s="12"/>
      <c r="T9" s="12"/>
      <c r="U9" s="12"/>
      <c r="W9" s="1816"/>
      <c r="X9" s="1816"/>
      <c r="Y9" s="1816"/>
      <c r="Z9" s="1816"/>
      <c r="AA9" s="1816"/>
      <c r="AB9" s="1816"/>
      <c r="AC9" s="1816"/>
    </row>
    <row r="10" spans="1:33" ht="69.95" customHeight="1" thickBot="1">
      <c r="A10" s="752"/>
      <c r="B10" s="1815"/>
      <c r="C10" s="1818"/>
      <c r="D10" s="1819"/>
      <c r="E10" s="1821"/>
      <c r="F10" s="1829"/>
      <c r="G10" s="1534">
        <v>0</v>
      </c>
      <c r="H10" s="20">
        <v>1</v>
      </c>
      <c r="I10" s="20" t="s">
        <v>14</v>
      </c>
      <c r="J10" s="20" t="s">
        <v>15</v>
      </c>
      <c r="K10" s="20" t="s">
        <v>16</v>
      </c>
      <c r="L10" s="21" t="s">
        <v>17</v>
      </c>
      <c r="M10" s="741" t="s">
        <v>185</v>
      </c>
      <c r="N10" s="23"/>
      <c r="O10" s="64"/>
      <c r="P10" s="12"/>
      <c r="Q10" s="12"/>
      <c r="R10" s="12"/>
      <c r="S10" s="12"/>
      <c r="T10" s="12"/>
      <c r="U10" s="12"/>
      <c r="W10" s="1816"/>
      <c r="X10" s="1816"/>
      <c r="Y10" s="1816"/>
      <c r="Z10" s="1548"/>
      <c r="AA10" s="1816"/>
      <c r="AB10" s="1816"/>
      <c r="AC10" s="1816"/>
      <c r="AF10" s="1549" t="s">
        <v>74</v>
      </c>
      <c r="AG10" s="1549"/>
    </row>
    <row r="11" spans="1:33" ht="24.95" customHeight="1">
      <c r="A11" s="752"/>
      <c r="B11" s="844"/>
      <c r="C11" s="24" t="s">
        <v>18</v>
      </c>
      <c r="D11" s="25" t="s">
        <v>18</v>
      </c>
      <c r="E11" s="26" t="s">
        <v>18</v>
      </c>
      <c r="F11" s="1714" t="s">
        <v>27</v>
      </c>
      <c r="G11" s="1535" t="s">
        <v>18</v>
      </c>
      <c r="H11" s="25" t="s">
        <v>18</v>
      </c>
      <c r="I11" s="25" t="s">
        <v>18</v>
      </c>
      <c r="J11" s="25" t="s">
        <v>18</v>
      </c>
      <c r="K11" s="25" t="s">
        <v>18</v>
      </c>
      <c r="L11" s="27" t="s">
        <v>18</v>
      </c>
      <c r="M11" s="26" t="s">
        <v>18</v>
      </c>
      <c r="N11" s="23"/>
      <c r="O11" s="23"/>
      <c r="P11" s="1834" t="s">
        <v>198</v>
      </c>
      <c r="Q11" s="1835" t="s">
        <v>197</v>
      </c>
      <c r="R11" s="1836" t="s">
        <v>209</v>
      </c>
      <c r="S11" s="1837"/>
      <c r="T11" s="1838"/>
      <c r="U11" s="12"/>
      <c r="W11" s="1550" t="s">
        <v>73</v>
      </c>
      <c r="X11" s="1550" t="s">
        <v>73</v>
      </c>
      <c r="Y11" s="1550" t="s">
        <v>73</v>
      </c>
      <c r="Z11" s="1550" t="s">
        <v>73</v>
      </c>
      <c r="AA11" s="1550" t="s">
        <v>73</v>
      </c>
      <c r="AB11" s="1550" t="s">
        <v>73</v>
      </c>
      <c r="AC11" s="1550" t="s">
        <v>73</v>
      </c>
      <c r="AF11" s="1549" t="s">
        <v>201</v>
      </c>
    </row>
    <row r="12" spans="1:33" ht="24.95" customHeight="1">
      <c r="A12" s="752"/>
      <c r="B12" s="845"/>
      <c r="C12" s="101" t="s">
        <v>31</v>
      </c>
      <c r="D12" s="1074" t="s">
        <v>31</v>
      </c>
      <c r="E12" s="102" t="s">
        <v>3</v>
      </c>
      <c r="F12" s="1715" t="s">
        <v>31</v>
      </c>
      <c r="G12" s="1074" t="s">
        <v>31</v>
      </c>
      <c r="H12" s="97" t="s">
        <v>31</v>
      </c>
      <c r="I12" s="97" t="s">
        <v>31</v>
      </c>
      <c r="J12" s="97" t="s">
        <v>31</v>
      </c>
      <c r="K12" s="97" t="s">
        <v>31</v>
      </c>
      <c r="L12" s="97" t="s">
        <v>31</v>
      </c>
      <c r="M12" s="102" t="s">
        <v>3</v>
      </c>
      <c r="N12" s="14"/>
      <c r="O12" s="28"/>
      <c r="P12" s="1818"/>
      <c r="Q12" s="1819"/>
      <c r="R12" s="104" t="s">
        <v>61</v>
      </c>
      <c r="S12" s="1832" t="s">
        <v>210</v>
      </c>
      <c r="T12" s="29" t="s">
        <v>77</v>
      </c>
      <c r="U12" s="30"/>
      <c r="AF12" s="1549" t="s">
        <v>76</v>
      </c>
    </row>
    <row r="13" spans="1:33" ht="24.95" customHeight="1" thickBot="1">
      <c r="A13" s="752"/>
      <c r="B13" s="846"/>
      <c r="C13" s="1160">
        <v>1</v>
      </c>
      <c r="D13" s="1161">
        <v>2</v>
      </c>
      <c r="E13" s="1162">
        <v>3</v>
      </c>
      <c r="F13" s="1716">
        <v>4</v>
      </c>
      <c r="G13" s="1175">
        <v>5</v>
      </c>
      <c r="H13" s="1161">
        <v>6</v>
      </c>
      <c r="I13" s="1161">
        <v>7</v>
      </c>
      <c r="J13" s="1161">
        <v>8</v>
      </c>
      <c r="K13" s="1161">
        <v>9</v>
      </c>
      <c r="L13" s="1161">
        <v>10</v>
      </c>
      <c r="M13" s="1162">
        <v>11</v>
      </c>
      <c r="N13" s="14"/>
      <c r="O13" s="28"/>
      <c r="P13" s="98"/>
      <c r="Q13" s="99"/>
      <c r="R13" s="99"/>
      <c r="S13" s="1833"/>
      <c r="T13" s="100"/>
      <c r="U13" s="30"/>
      <c r="AF13" s="1549"/>
    </row>
    <row r="14" spans="1:33" ht="30" customHeight="1">
      <c r="A14" s="752"/>
      <c r="B14" s="847" t="s">
        <v>19</v>
      </c>
      <c r="C14" s="1718"/>
      <c r="D14" s="1706"/>
      <c r="E14" s="1711"/>
      <c r="F14" s="1717"/>
      <c r="G14" s="32"/>
      <c r="H14" s="37"/>
      <c r="I14" s="38"/>
      <c r="J14" s="38"/>
      <c r="K14" s="38"/>
      <c r="L14" s="39"/>
      <c r="M14" s="31"/>
      <c r="N14" s="14"/>
      <c r="O14" s="28"/>
      <c r="P14" s="33"/>
      <c r="Q14" s="34"/>
      <c r="R14" s="34"/>
      <c r="S14" s="35"/>
      <c r="T14" s="36"/>
      <c r="U14" s="30"/>
      <c r="AF14" s="1549" t="s">
        <v>200</v>
      </c>
    </row>
    <row r="15" spans="1:33" ht="24.95" customHeight="1">
      <c r="A15" s="752"/>
      <c r="B15" s="848" t="s">
        <v>111</v>
      </c>
      <c r="C15" s="870"/>
      <c r="D15" s="1706"/>
      <c r="E15" s="1712"/>
      <c r="F15" s="1717"/>
      <c r="G15" s="32"/>
      <c r="H15" s="37"/>
      <c r="I15" s="38"/>
      <c r="J15" s="38"/>
      <c r="K15" s="38"/>
      <c r="L15" s="39"/>
      <c r="M15" s="31"/>
      <c r="N15" s="14"/>
      <c r="O15" s="28"/>
      <c r="P15" s="40"/>
      <c r="Q15" s="41"/>
      <c r="R15" s="41"/>
      <c r="S15" s="41"/>
      <c r="T15" s="42"/>
      <c r="U15" s="30"/>
      <c r="AF15" s="1549"/>
    </row>
    <row r="16" spans="1:33" ht="24.95" customHeight="1">
      <c r="A16" s="752"/>
      <c r="B16" s="849" t="s">
        <v>43</v>
      </c>
      <c r="C16" s="1719">
        <v>167</v>
      </c>
      <c r="D16" s="1707">
        <v>2</v>
      </c>
      <c r="E16" s="48">
        <f>SUM(C16:D16)</f>
        <v>169</v>
      </c>
      <c r="F16" s="1726">
        <v>2</v>
      </c>
      <c r="G16" s="1724"/>
      <c r="H16" s="44">
        <v>168</v>
      </c>
      <c r="I16" s="45"/>
      <c r="J16" s="46"/>
      <c r="K16" s="46"/>
      <c r="L16" s="47"/>
      <c r="M16" s="48">
        <f>H16</f>
        <v>168</v>
      </c>
      <c r="N16" s="781"/>
      <c r="O16" s="49"/>
      <c r="P16" s="50" t="str">
        <f>IF(W16=1,Only_intake_recorded,IF(OR(X16=1,AC16=1),Intake_missing,"OK"))</f>
        <v>OK</v>
      </c>
      <c r="Q16" s="51" t="str">
        <f>IF(OR(Y16=1,AB16=1),Intake_inconsistent,"OK")</f>
        <v>OK</v>
      </c>
      <c r="R16" s="559">
        <f>'Table 1 (Main)'!$I$22</f>
        <v>168</v>
      </c>
      <c r="S16" s="569">
        <f>M16-R16</f>
        <v>0</v>
      </c>
      <c r="T16" s="52" t="str">
        <f>IF(ABS(S16)&gt;0.1,"Does not equal Table 1","OK")</f>
        <v>OK</v>
      </c>
      <c r="U16" s="12"/>
      <c r="W16" s="1551">
        <f>IF(AND(C16&gt;0,M16=0),1,0)</f>
        <v>0</v>
      </c>
      <c r="X16" s="1551">
        <f>IF(AND(C16=0,M16&gt;0),1,0)</f>
        <v>0</v>
      </c>
      <c r="Y16" s="1550">
        <f>IF(C16&gt;M16,1,0)</f>
        <v>0</v>
      </c>
      <c r="Z16" s="1550">
        <f>IF(SUM(I16:L16)&gt;0,1,0)</f>
        <v>0</v>
      </c>
      <c r="AA16" s="1550">
        <f>IF(C16=M16,1,0)</f>
        <v>0</v>
      </c>
      <c r="AB16" s="1550">
        <f>Z16*AA16</f>
        <v>0</v>
      </c>
      <c r="AC16" s="1551">
        <f>IF(AND(C16=0,F16&gt;0),1,0)</f>
        <v>0</v>
      </c>
      <c r="AD16" s="1549"/>
    </row>
    <row r="17" spans="1:29" ht="24.95" customHeight="1">
      <c r="A17" s="752"/>
      <c r="B17" s="849" t="s">
        <v>32</v>
      </c>
      <c r="C17" s="1719"/>
      <c r="D17" s="1707"/>
      <c r="E17" s="48">
        <f t="shared" ref="E17:E18" si="0">SUM(C17:D17)</f>
        <v>0</v>
      </c>
      <c r="F17" s="1726"/>
      <c r="G17" s="1724"/>
      <c r="H17" s="44">
        <v>0.5</v>
      </c>
      <c r="I17" s="43">
        <v>1.5</v>
      </c>
      <c r="J17" s="46"/>
      <c r="K17" s="46"/>
      <c r="L17" s="47"/>
      <c r="M17" s="48">
        <f>SUM(H17:I17)</f>
        <v>2</v>
      </c>
      <c r="N17" s="781"/>
      <c r="O17" s="49"/>
      <c r="P17" s="50" t="str">
        <f>IF(W17=1,Only_intake_recorded,IF(OR(X17=1,AC17=1),Intake_missing,"OK"))</f>
        <v>Intake missing?</v>
      </c>
      <c r="Q17" s="51" t="str">
        <f>IF(OR(Y17=1,AB17=1),Intake_inconsistent,"OK")</f>
        <v>OK</v>
      </c>
      <c r="R17" s="559">
        <f>'Table 1 (Main)'!$L$22</f>
        <v>2</v>
      </c>
      <c r="S17" s="569">
        <f>M17-R17</f>
        <v>0</v>
      </c>
      <c r="T17" s="52" t="str">
        <f>IF(ABS(S17)&gt;0.1,"Does not equal Table 1","OK")</f>
        <v>OK</v>
      </c>
      <c r="U17" s="12"/>
      <c r="W17" s="1551">
        <f>IF(AND(C17&gt;0,M17=0),1,0)</f>
        <v>0</v>
      </c>
      <c r="X17" s="1551">
        <f>IF(AND(C17=0,M17&gt;0),1,0)</f>
        <v>1</v>
      </c>
      <c r="Y17" s="1550">
        <f>IF(C17&gt;M17,1,0)</f>
        <v>0</v>
      </c>
      <c r="Z17" s="1550">
        <f>IF(SUM(I17:L17)&gt;0,1,0)</f>
        <v>1</v>
      </c>
      <c r="AA17" s="1550">
        <f>IF(C17=M17,1,0)</f>
        <v>0</v>
      </c>
      <c r="AB17" s="1550">
        <f>Z17*AA17</f>
        <v>0</v>
      </c>
      <c r="AC17" s="1551">
        <f>IF(AND(C17=0,F17&gt;0),1,0)</f>
        <v>0</v>
      </c>
    </row>
    <row r="18" spans="1:29" ht="24.95" customHeight="1">
      <c r="A18" s="752"/>
      <c r="B18" s="850" t="s">
        <v>2</v>
      </c>
      <c r="C18" s="1720">
        <f>SUM(C16:C17)</f>
        <v>167</v>
      </c>
      <c r="D18" s="1708">
        <f>SUM(D16:D17)</f>
        <v>2</v>
      </c>
      <c r="E18" s="48">
        <f t="shared" si="0"/>
        <v>169</v>
      </c>
      <c r="F18" s="1727">
        <f>SUM(F16:F17)</f>
        <v>2</v>
      </c>
      <c r="G18" s="1725"/>
      <c r="H18" s="54">
        <f>SUM(H16:H17)</f>
        <v>168.5</v>
      </c>
      <c r="I18" s="53">
        <f>I17</f>
        <v>1.5</v>
      </c>
      <c r="J18" s="46"/>
      <c r="K18" s="46"/>
      <c r="L18" s="47"/>
      <c r="M18" s="48">
        <f>SUM(H18:I18)</f>
        <v>170</v>
      </c>
      <c r="N18" s="781"/>
      <c r="O18" s="49"/>
      <c r="P18" s="55"/>
      <c r="Q18" s="56"/>
      <c r="R18" s="568"/>
      <c r="S18" s="57"/>
      <c r="T18" s="58"/>
      <c r="U18" s="12"/>
      <c r="W18" s="1550"/>
      <c r="X18" s="1550"/>
      <c r="Y18" s="1550"/>
      <c r="Z18" s="1550"/>
      <c r="AA18" s="1550"/>
      <c r="AB18" s="1550"/>
      <c r="AC18" s="1550"/>
    </row>
    <row r="19" spans="1:29" ht="9.9499999999999993" customHeight="1">
      <c r="A19" s="752"/>
      <c r="B19" s="851"/>
      <c r="C19" s="1721"/>
      <c r="D19" s="1709"/>
      <c r="E19" s="1713"/>
      <c r="F19" s="60"/>
      <c r="G19" s="61"/>
      <c r="H19" s="62"/>
      <c r="I19" s="59"/>
      <c r="J19" s="59"/>
      <c r="K19" s="59"/>
      <c r="L19" s="63"/>
      <c r="M19" s="60"/>
      <c r="N19" s="23"/>
      <c r="O19" s="64"/>
      <c r="P19" s="85"/>
      <c r="Q19" s="556"/>
      <c r="R19" s="556"/>
      <c r="S19" s="557"/>
      <c r="T19" s="558"/>
      <c r="U19" s="12"/>
      <c r="W19" s="1550"/>
      <c r="X19" s="1550"/>
      <c r="Y19" s="1550"/>
      <c r="Z19" s="1550"/>
      <c r="AA19" s="1550"/>
      <c r="AB19" s="1550"/>
      <c r="AC19" s="1550"/>
    </row>
    <row r="20" spans="1:29" ht="30" customHeight="1" thickBot="1">
      <c r="A20" s="752"/>
      <c r="B20" s="852" t="s">
        <v>93</v>
      </c>
      <c r="C20" s="1722">
        <v>134.80000000000001</v>
      </c>
      <c r="D20" s="89">
        <v>2</v>
      </c>
      <c r="E20" s="69">
        <f>SUM(C20:D20)</f>
        <v>136.80000000000001</v>
      </c>
      <c r="F20" s="1537">
        <v>2</v>
      </c>
      <c r="G20" s="66"/>
      <c r="H20" s="67">
        <v>134.80000000000001</v>
      </c>
      <c r="I20" s="65">
        <v>131</v>
      </c>
      <c r="J20" s="65">
        <v>114</v>
      </c>
      <c r="K20" s="65">
        <v>169.2</v>
      </c>
      <c r="L20" s="68"/>
      <c r="M20" s="69">
        <f>SUM(G20:K20)</f>
        <v>549</v>
      </c>
      <c r="N20" s="781"/>
      <c r="O20" s="49"/>
      <c r="P20" s="50" t="str">
        <f>IF(W20=1,Only_intake_recorded,IF(OR(X20=1,AC20=1),Intake_missing,"OK"))</f>
        <v>OK</v>
      </c>
      <c r="Q20" s="51" t="str">
        <f>IF(OR(Y20=1,AB20=1),Intake_inconsistent,"OK")</f>
        <v>OK</v>
      </c>
      <c r="R20" s="559">
        <f>'Table 1 (Main)'!$O$34</f>
        <v>551.5</v>
      </c>
      <c r="S20" s="569">
        <f>M20-R20</f>
        <v>-2.5</v>
      </c>
      <c r="T20" s="52" t="str">
        <f>IF(ABS(S20)&gt;0.1,"Does not equal Table 1","OK")</f>
        <v>Does not equal Table 1</v>
      </c>
      <c r="U20" s="12"/>
      <c r="W20" s="1551">
        <f>IF(AND(C20&gt;0,M20=0),1,0)</f>
        <v>0</v>
      </c>
      <c r="X20" s="1551">
        <f>IF(AND(C20=0,M20&gt;0),1,0)</f>
        <v>0</v>
      </c>
      <c r="Y20" s="1550">
        <f>IF(C20&gt;M20,1,0)</f>
        <v>0</v>
      </c>
      <c r="Z20" s="1550">
        <f>IF(SUM(I20:L20)&gt;0,1,0)</f>
        <v>1</v>
      </c>
      <c r="AA20" s="1550">
        <f>IF(C20=M20,1,0)</f>
        <v>0</v>
      </c>
      <c r="AB20" s="1550">
        <f>Z20*AA20</f>
        <v>0</v>
      </c>
      <c r="AC20" s="1551">
        <f>IF(AND(C20=0,F20&gt;0),1,0)</f>
        <v>0</v>
      </c>
    </row>
    <row r="21" spans="1:29" ht="30" customHeight="1">
      <c r="A21" s="752"/>
      <c r="B21" s="847" t="s">
        <v>20</v>
      </c>
      <c r="C21" s="1721"/>
      <c r="D21" s="1709"/>
      <c r="E21" s="1713"/>
      <c r="F21" s="60"/>
      <c r="G21" s="61"/>
      <c r="H21" s="62"/>
      <c r="I21" s="59"/>
      <c r="J21" s="59"/>
      <c r="K21" s="59"/>
      <c r="L21" s="1709"/>
      <c r="M21" s="60"/>
      <c r="N21" s="14"/>
      <c r="O21" s="28"/>
      <c r="P21" s="560"/>
      <c r="Q21" s="561"/>
      <c r="R21" s="561"/>
      <c r="S21" s="562"/>
      <c r="T21" s="563"/>
      <c r="U21" s="12"/>
      <c r="W21" s="1550"/>
      <c r="X21" s="1550"/>
      <c r="Y21" s="1550"/>
      <c r="Z21" s="1550"/>
      <c r="AA21" s="1550"/>
      <c r="AB21" s="1550"/>
      <c r="AC21" s="1550"/>
    </row>
    <row r="22" spans="1:29" ht="24.95" customHeight="1">
      <c r="A22" s="752"/>
      <c r="B22" s="848" t="s">
        <v>112</v>
      </c>
      <c r="C22" s="1721"/>
      <c r="D22" s="1709"/>
      <c r="E22" s="1713"/>
      <c r="F22" s="60"/>
      <c r="G22" s="61"/>
      <c r="H22" s="62"/>
      <c r="I22" s="59"/>
      <c r="J22" s="59"/>
      <c r="K22" s="59"/>
      <c r="L22" s="63"/>
      <c r="M22" s="60"/>
      <c r="N22" s="14"/>
      <c r="O22" s="28"/>
      <c r="P22" s="564"/>
      <c r="Q22" s="565"/>
      <c r="R22" s="565"/>
      <c r="S22" s="566"/>
      <c r="T22" s="567"/>
      <c r="U22" s="12"/>
      <c r="W22" s="1550"/>
      <c r="X22" s="1550"/>
      <c r="Y22" s="1550"/>
      <c r="Z22" s="1550"/>
      <c r="AA22" s="1550"/>
      <c r="AB22" s="1550"/>
      <c r="AC22" s="1550"/>
    </row>
    <row r="23" spans="1:29" ht="24.95" customHeight="1">
      <c r="A23" s="752"/>
      <c r="B23" s="849" t="s">
        <v>43</v>
      </c>
      <c r="C23" s="1719">
        <v>192</v>
      </c>
      <c r="D23" s="1707">
        <v>6</v>
      </c>
      <c r="E23" s="48">
        <f>SUM(C23:D23)</f>
        <v>198</v>
      </c>
      <c r="F23" s="1726">
        <v>1</v>
      </c>
      <c r="G23" s="1724"/>
      <c r="H23" s="44">
        <v>194</v>
      </c>
      <c r="I23" s="46"/>
      <c r="J23" s="46"/>
      <c r="K23" s="46"/>
      <c r="L23" s="70"/>
      <c r="M23" s="48">
        <f>H23</f>
        <v>194</v>
      </c>
      <c r="N23" s="781"/>
      <c r="O23" s="49"/>
      <c r="P23" s="50" t="str">
        <f>IF(W23=1,Only_intake_recorded,IF(OR(X23=1,AC23=1),Intake_missing,"OK"))</f>
        <v>OK</v>
      </c>
      <c r="Q23" s="51" t="str">
        <f>IF(OR(Y23=1,AB23=1),Intake_inconsistent,"OK")</f>
        <v>OK</v>
      </c>
      <c r="R23" s="559">
        <f>'Table 1 (Main)'!$I$23</f>
        <v>194</v>
      </c>
      <c r="S23" s="569">
        <f t="shared" ref="S23:S24" si="1">M23-R23</f>
        <v>0</v>
      </c>
      <c r="T23" s="52" t="str">
        <f>IF(ABS(S23)&gt;0.1,"Does not equal Table 1","OK")</f>
        <v>OK</v>
      </c>
      <c r="U23" s="12"/>
      <c r="W23" s="1551">
        <f>IF(AND(C23&gt;0,M23=0),1,0)</f>
        <v>0</v>
      </c>
      <c r="X23" s="1551">
        <f>IF(AND(C23=0,M23&gt;0),1,0)</f>
        <v>0</v>
      </c>
      <c r="Y23" s="1550">
        <f>IF(C23&gt;M23,1,0)</f>
        <v>0</v>
      </c>
      <c r="Z23" s="1550">
        <f>IF(SUM(I23:L23)&gt;0,1,0)</f>
        <v>0</v>
      </c>
      <c r="AA23" s="1550">
        <f>IF(C23=M23,1,0)</f>
        <v>0</v>
      </c>
      <c r="AB23" s="1550">
        <f>Z23*AA23</f>
        <v>0</v>
      </c>
      <c r="AC23" s="1551">
        <f>IF(AND(C23=0,F23&gt;0),1,0)</f>
        <v>0</v>
      </c>
    </row>
    <row r="24" spans="1:29" ht="24.95" customHeight="1">
      <c r="A24" s="752"/>
      <c r="B24" s="849" t="s">
        <v>32</v>
      </c>
      <c r="C24" s="1719"/>
      <c r="D24" s="1707"/>
      <c r="E24" s="48">
        <f t="shared" ref="E24:E25" si="2">SUM(C24:D24)</f>
        <v>0</v>
      </c>
      <c r="F24" s="1726"/>
      <c r="G24" s="1724"/>
      <c r="H24" s="44"/>
      <c r="I24" s="43">
        <v>0.5</v>
      </c>
      <c r="J24" s="46"/>
      <c r="K24" s="46"/>
      <c r="L24" s="70"/>
      <c r="M24" s="48">
        <f>SUM(H24:I24)</f>
        <v>0.5</v>
      </c>
      <c r="N24" s="781"/>
      <c r="O24" s="49"/>
      <c r="P24" s="71" t="str">
        <f>IF(W24=1,Only_intake_recorded,IF(OR(X24=1,AC24=1),Intake_missing,"OK"))</f>
        <v>Intake missing?</v>
      </c>
      <c r="Q24" s="72" t="str">
        <f>IF(OR(Y24=1,AB24=1),Intake_inconsistent,"OK")</f>
        <v>OK</v>
      </c>
      <c r="R24" s="559">
        <f>'Table 1 (Main)'!$L$23</f>
        <v>0.5</v>
      </c>
      <c r="S24" s="569">
        <f t="shared" si="1"/>
        <v>0</v>
      </c>
      <c r="T24" s="73" t="str">
        <f>IF(ABS(S24)&gt;0.1,"Does not equal Table 1","OK")</f>
        <v>OK</v>
      </c>
      <c r="U24" s="12"/>
      <c r="W24" s="1551">
        <f>IF(AND(C24&gt;0,M24=0),1,0)</f>
        <v>0</v>
      </c>
      <c r="X24" s="1551">
        <f>IF(AND(C24=0,M24&gt;0),1,0)</f>
        <v>1</v>
      </c>
      <c r="Y24" s="1550">
        <f>IF(C24&gt;M24,1,0)</f>
        <v>0</v>
      </c>
      <c r="Z24" s="1550">
        <f>IF(SUM(I24:L24)&gt;0,1,0)</f>
        <v>1</v>
      </c>
      <c r="AA24" s="1550">
        <f>IF(C24=M24,1,0)</f>
        <v>0</v>
      </c>
      <c r="AB24" s="1550">
        <f>Z24*AA24</f>
        <v>0</v>
      </c>
      <c r="AC24" s="1551">
        <f>IF(AND(C24=0,F24&gt;0),1,0)</f>
        <v>0</v>
      </c>
    </row>
    <row r="25" spans="1:29" ht="24.95" customHeight="1">
      <c r="A25" s="752"/>
      <c r="B25" s="850" t="s">
        <v>2</v>
      </c>
      <c r="C25" s="1720">
        <f>SUM(C23:C24)</f>
        <v>192</v>
      </c>
      <c r="D25" s="1708">
        <f>SUM(D23:D24)</f>
        <v>6</v>
      </c>
      <c r="E25" s="48">
        <f t="shared" si="2"/>
        <v>198</v>
      </c>
      <c r="F25" s="1727">
        <f>SUM(F23:F24)</f>
        <v>1</v>
      </c>
      <c r="G25" s="1725"/>
      <c r="H25" s="54">
        <f>SUM(H23:H24)</f>
        <v>194</v>
      </c>
      <c r="I25" s="53">
        <f>I24</f>
        <v>0.5</v>
      </c>
      <c r="J25" s="46"/>
      <c r="K25" s="46"/>
      <c r="L25" s="70"/>
      <c r="M25" s="48">
        <f>SUM(H25:I25)</f>
        <v>194.5</v>
      </c>
      <c r="N25" s="781"/>
      <c r="O25" s="49"/>
      <c r="P25" s="553"/>
      <c r="Q25" s="554"/>
      <c r="R25" s="554"/>
      <c r="S25" s="554"/>
      <c r="T25" s="555"/>
      <c r="U25" s="3"/>
      <c r="W25" s="1550"/>
      <c r="X25" s="1550"/>
      <c r="Y25" s="1550"/>
      <c r="Z25" s="1550"/>
      <c r="AA25" s="1550"/>
      <c r="AB25" s="1550"/>
      <c r="AC25" s="1550"/>
    </row>
    <row r="26" spans="1:29" ht="9.9499999999999993" customHeight="1">
      <c r="A26" s="752"/>
      <c r="B26" s="850"/>
      <c r="C26" s="1720"/>
      <c r="D26" s="1708"/>
      <c r="E26" s="1713"/>
      <c r="F26" s="1538"/>
      <c r="G26" s="1725"/>
      <c r="H26" s="54"/>
      <c r="I26" s="53"/>
      <c r="J26" s="46"/>
      <c r="K26" s="46"/>
      <c r="L26" s="70"/>
      <c r="M26" s="48"/>
      <c r="N26" s="781"/>
      <c r="O26" s="49"/>
      <c r="P26" s="4"/>
      <c r="Q26" s="5"/>
      <c r="R26" s="5"/>
      <c r="S26" s="5"/>
      <c r="T26" s="6"/>
      <c r="U26" s="3"/>
      <c r="W26" s="1550"/>
      <c r="X26" s="1550"/>
      <c r="Y26" s="1550"/>
      <c r="Z26" s="1550"/>
      <c r="AA26" s="1550"/>
      <c r="AB26" s="1550"/>
      <c r="AC26" s="1550"/>
    </row>
    <row r="27" spans="1:29" ht="30" customHeight="1">
      <c r="A27" s="752"/>
      <c r="B27" s="848" t="s">
        <v>21</v>
      </c>
      <c r="C27" s="1719"/>
      <c r="D27" s="1707"/>
      <c r="E27" s="48">
        <f t="shared" ref="E27:E29" si="3">SUM(C27:D27)</f>
        <v>0</v>
      </c>
      <c r="F27" s="1728"/>
      <c r="G27" s="1704"/>
      <c r="H27" s="44"/>
      <c r="I27" s="43"/>
      <c r="J27" s="43"/>
      <c r="K27" s="43"/>
      <c r="L27" s="70"/>
      <c r="M27" s="48">
        <f>SUM(G27:K27)</f>
        <v>0</v>
      </c>
      <c r="N27" s="781"/>
      <c r="O27" s="49"/>
      <c r="P27" s="75" t="str">
        <f>IF(W27=1,Only_intake_recorded,IF(OR(X27=1,AC27=1),Intake_missing,"OK"))</f>
        <v>OK</v>
      </c>
      <c r="Q27" s="76" t="str">
        <f>IF(OR(Y27=1,AB27=1),Intake_inconsistent,"OK")</f>
        <v>OK</v>
      </c>
      <c r="R27" s="559">
        <f>'Table 1 (Main)'!$O$35</f>
        <v>0</v>
      </c>
      <c r="S27" s="569">
        <f t="shared" ref="S27:S29" si="4">M27-R27</f>
        <v>0</v>
      </c>
      <c r="T27" s="77" t="str">
        <f>IF(ABS(S27)&gt;0.1,"Does not equal Table 1","OK")</f>
        <v>OK</v>
      </c>
      <c r="U27" s="12"/>
      <c r="W27" s="1551">
        <f>IF(AND(C27&gt;0,M27=0),1,0)</f>
        <v>0</v>
      </c>
      <c r="X27" s="1551">
        <f>IF(AND(C27=0,M27&gt;0),1,0)</f>
        <v>0</v>
      </c>
      <c r="Y27" s="1550">
        <f>IF(C27&gt;M27,1,0)</f>
        <v>0</v>
      </c>
      <c r="Z27" s="1550">
        <f>IF(SUM(I27:L27)&gt;0,1,0)</f>
        <v>0</v>
      </c>
      <c r="AA27" s="1550">
        <f>IF(C27=M27,1,0)</f>
        <v>1</v>
      </c>
      <c r="AB27" s="1550">
        <f>Z27*AA27</f>
        <v>0</v>
      </c>
      <c r="AC27" s="1551"/>
    </row>
    <row r="28" spans="1:29" ht="30" customHeight="1">
      <c r="A28" s="752"/>
      <c r="B28" s="848" t="s">
        <v>22</v>
      </c>
      <c r="C28" s="1719"/>
      <c r="D28" s="1707"/>
      <c r="E28" s="48">
        <f t="shared" si="3"/>
        <v>0</v>
      </c>
      <c r="F28" s="60"/>
      <c r="G28" s="1704"/>
      <c r="H28" s="44"/>
      <c r="I28" s="43"/>
      <c r="J28" s="43"/>
      <c r="K28" s="43"/>
      <c r="L28" s="70"/>
      <c r="M28" s="48">
        <f>SUM(G28:K28)</f>
        <v>0</v>
      </c>
      <c r="N28" s="781"/>
      <c r="O28" s="49"/>
      <c r="P28" s="79" t="str">
        <f>IF(W28=1,Only_intake_recorded,IF(OR(X28=1,AC28=1),Intake_missing,"OK"))</f>
        <v>OK</v>
      </c>
      <c r="Q28" s="80" t="str">
        <f>IF(OR(Y28=1,AB28=1),Intake_inconsistent,"OK")</f>
        <v>OK</v>
      </c>
      <c r="R28" s="559">
        <f>'Table 1 (Main)'!$O$36</f>
        <v>0</v>
      </c>
      <c r="S28" s="569">
        <f t="shared" si="4"/>
        <v>0</v>
      </c>
      <c r="T28" s="81" t="str">
        <f>IF(ABS(S28)&gt;0.1,"Does not equal Table 1","OK")</f>
        <v>OK</v>
      </c>
      <c r="U28" s="12"/>
      <c r="W28" s="1551">
        <f>IF(AND(C28&gt;0,M28=0),1,0)</f>
        <v>0</v>
      </c>
      <c r="X28" s="1551">
        <f>IF(AND(C28=0,M28&gt;0),1,0)</f>
        <v>0</v>
      </c>
      <c r="Y28" s="1550">
        <f>IF(C28&gt;M28,1,0)</f>
        <v>0</v>
      </c>
      <c r="Z28" s="1550">
        <f>IF(SUM(I28:L28)&gt;0,1,0)</f>
        <v>0</v>
      </c>
      <c r="AA28" s="1550">
        <f>IF(C28=M28,1,0)</f>
        <v>1</v>
      </c>
      <c r="AB28" s="1550">
        <f>Z28*AA28</f>
        <v>0</v>
      </c>
      <c r="AC28" s="1551"/>
    </row>
    <row r="29" spans="1:29" ht="30" customHeight="1">
      <c r="A29" s="752"/>
      <c r="B29" s="848" t="s">
        <v>23</v>
      </c>
      <c r="C29" s="1719">
        <v>26</v>
      </c>
      <c r="D29" s="1707"/>
      <c r="E29" s="48">
        <f t="shared" si="3"/>
        <v>26</v>
      </c>
      <c r="F29" s="83"/>
      <c r="G29" s="1704"/>
      <c r="H29" s="44">
        <v>24</v>
      </c>
      <c r="I29" s="43">
        <v>27</v>
      </c>
      <c r="J29" s="43">
        <v>20</v>
      </c>
      <c r="K29" s="43">
        <v>17.399999999999999</v>
      </c>
      <c r="L29" s="70"/>
      <c r="M29" s="48">
        <f>SUM(G29:K29)</f>
        <v>88.4</v>
      </c>
      <c r="N29" s="781"/>
      <c r="O29" s="49"/>
      <c r="P29" s="79" t="str">
        <f>IF(W29=1,Only_intake_recorded,IF(OR(X29=1,AC29=1),Intake_missing,"OK"))</f>
        <v>OK</v>
      </c>
      <c r="Q29" s="80" t="str">
        <f>IF(OR(Y29=1,AB29=1),Intake_inconsistent,"OK")</f>
        <v>OK</v>
      </c>
      <c r="R29" s="559">
        <f>'Table 1 (Main)'!$O$37</f>
        <v>88.600000000000009</v>
      </c>
      <c r="S29" s="569">
        <f t="shared" si="4"/>
        <v>-0.20000000000000284</v>
      </c>
      <c r="T29" s="81" t="str">
        <f>IF(ABS(S29)&gt;0.1,"Does not equal Table 1","OK")</f>
        <v>Does not equal Table 1</v>
      </c>
      <c r="U29" s="12"/>
      <c r="W29" s="1551">
        <f>IF(AND(C29&gt;0,M29=0),1,0)</f>
        <v>0</v>
      </c>
      <c r="X29" s="1551">
        <f>IF(AND(C29=0,M29&gt;0),1,0)</f>
        <v>0</v>
      </c>
      <c r="Y29" s="1550">
        <f>IF(C29&gt;M29,1,0)</f>
        <v>0</v>
      </c>
      <c r="Z29" s="1550">
        <f>IF(SUM(I29:L29)&gt;0,1,0)</f>
        <v>1</v>
      </c>
      <c r="AA29" s="1550">
        <f>IF(C29=M29,1,0)</f>
        <v>0</v>
      </c>
      <c r="AB29" s="1550">
        <f>Z29*AA29</f>
        <v>0</v>
      </c>
      <c r="AC29" s="1551"/>
    </row>
    <row r="30" spans="1:29" ht="9.9499999999999993" customHeight="1">
      <c r="A30" s="752"/>
      <c r="B30" s="843"/>
      <c r="C30" s="1723"/>
      <c r="D30" s="1710"/>
      <c r="E30" s="1713"/>
      <c r="F30" s="83"/>
      <c r="G30" s="1536"/>
      <c r="H30" s="84"/>
      <c r="I30" s="82"/>
      <c r="J30" s="82"/>
      <c r="K30" s="82"/>
      <c r="L30" s="63"/>
      <c r="M30" s="83"/>
      <c r="N30" s="14"/>
      <c r="O30" s="28"/>
      <c r="P30" s="85"/>
      <c r="Q30" s="86"/>
      <c r="R30" s="103"/>
      <c r="S30" s="87"/>
      <c r="T30" s="88"/>
      <c r="U30" s="12"/>
      <c r="W30" s="1550"/>
      <c r="X30" s="1550"/>
      <c r="Y30" s="1550"/>
      <c r="Z30" s="1550"/>
      <c r="AA30" s="1550"/>
      <c r="AB30" s="1550"/>
      <c r="AC30" s="1550"/>
    </row>
    <row r="31" spans="1:29" ht="30" customHeight="1" thickBot="1">
      <c r="A31" s="752"/>
      <c r="B31" s="852" t="s">
        <v>24</v>
      </c>
      <c r="C31" s="1722">
        <v>65</v>
      </c>
      <c r="D31" s="89">
        <v>1</v>
      </c>
      <c r="E31" s="48">
        <f>SUM(C31:D31)</f>
        <v>66</v>
      </c>
      <c r="F31" s="1537">
        <v>1</v>
      </c>
      <c r="G31" s="66"/>
      <c r="H31" s="67">
        <v>65</v>
      </c>
      <c r="I31" s="65">
        <v>44</v>
      </c>
      <c r="J31" s="65">
        <v>55.35</v>
      </c>
      <c r="K31" s="65">
        <v>35.200000000000003</v>
      </c>
      <c r="L31" s="89"/>
      <c r="M31" s="69">
        <f>SUM(G31:L31)</f>
        <v>199.55</v>
      </c>
      <c r="N31" s="781"/>
      <c r="O31" s="49"/>
      <c r="P31" s="90" t="str">
        <f>IF(W31=1,Only_intake_recorded,IF(OR(X31=1,AC31=1),Intake_missing,"OK"))</f>
        <v>OK</v>
      </c>
      <c r="Q31" s="91" t="str">
        <f>IF(OR(Y31=1,AB31=1),Intake_inconsistent,"OK")</f>
        <v>OK</v>
      </c>
      <c r="R31" s="91"/>
      <c r="S31" s="92"/>
      <c r="T31" s="93"/>
      <c r="U31" s="12"/>
      <c r="W31" s="1551">
        <f>IF(AND(C31&gt;0,M31=0),1,0)</f>
        <v>0</v>
      </c>
      <c r="X31" s="1551">
        <f>IF(AND(C31=0,M31&gt;0),1,0)</f>
        <v>0</v>
      </c>
      <c r="Y31" s="1550">
        <f>IF(C31&gt;M31,1,0)</f>
        <v>0</v>
      </c>
      <c r="Z31" s="1550">
        <f>IF(SUM(I31:L31)&gt;0,1,0)</f>
        <v>1</v>
      </c>
      <c r="AA31" s="1550">
        <f>IF(C31=M31,1,0)</f>
        <v>0</v>
      </c>
      <c r="AB31" s="1550">
        <f>Z31*AA31</f>
        <v>0</v>
      </c>
      <c r="AC31" s="1551">
        <f>IF(AND(C31=0,F31&gt;0),1,0)</f>
        <v>0</v>
      </c>
    </row>
    <row r="32" spans="1:29" ht="30" customHeight="1">
      <c r="A32" s="752"/>
      <c r="B32" s="853" t="s">
        <v>62</v>
      </c>
      <c r="C32" s="94"/>
      <c r="D32" s="94"/>
      <c r="E32" s="786"/>
      <c r="F32" s="64"/>
      <c r="G32" s="64"/>
      <c r="H32" s="64"/>
      <c r="I32" s="64"/>
      <c r="J32" s="64"/>
      <c r="K32" s="64"/>
      <c r="L32" s="64"/>
      <c r="M32" s="64"/>
      <c r="N32" s="23"/>
      <c r="O32" s="64"/>
      <c r="P32" s="95"/>
      <c r="Q32" s="12"/>
      <c r="R32" s="12"/>
      <c r="S32" s="12"/>
      <c r="T32" s="12"/>
      <c r="U32" s="12"/>
      <c r="V32" s="1550"/>
      <c r="W32" s="1550"/>
      <c r="X32" s="1550"/>
      <c r="Y32" s="1550"/>
      <c r="Z32" s="1550"/>
      <c r="AA32" s="1550"/>
      <c r="AB32" s="1550"/>
      <c r="AC32" s="1550"/>
    </row>
    <row r="33" spans="1:21" ht="20.100000000000001" customHeight="1">
      <c r="A33" s="776"/>
      <c r="B33" s="156"/>
      <c r="C33" s="96"/>
      <c r="D33" s="96"/>
      <c r="E33" s="96"/>
      <c r="F33" s="1705"/>
      <c r="G33" s="96"/>
      <c r="H33" s="96"/>
      <c r="I33" s="96"/>
      <c r="J33" s="96"/>
      <c r="K33" s="96"/>
      <c r="L33" s="96"/>
      <c r="M33" s="96"/>
      <c r="N33" s="782"/>
      <c r="O33" s="64"/>
      <c r="P33" s="95"/>
      <c r="Q33" s="12"/>
      <c r="R33" s="12"/>
      <c r="S33" s="12"/>
      <c r="T33" s="12"/>
      <c r="U33" s="12"/>
    </row>
    <row r="34" spans="1:21" ht="12.75" customHeight="1">
      <c r="B34" s="1545"/>
      <c r="C34" s="1552"/>
      <c r="D34" s="1552"/>
      <c r="E34" s="1552"/>
      <c r="F34" s="1552"/>
      <c r="G34" s="1552"/>
      <c r="H34" s="1552"/>
      <c r="I34" s="1552"/>
      <c r="J34" s="1552"/>
      <c r="K34" s="1552"/>
      <c r="L34" s="1552"/>
      <c r="M34" s="1552"/>
      <c r="N34" s="1552"/>
      <c r="O34" s="1552"/>
      <c r="P34" s="1552"/>
    </row>
    <row r="35" spans="1:21">
      <c r="C35" s="1552"/>
      <c r="D35" s="1552"/>
      <c r="E35" s="1552"/>
      <c r="F35" s="1552"/>
      <c r="G35" s="1552"/>
      <c r="H35" s="1552"/>
      <c r="I35" s="1552"/>
      <c r="J35" s="1552"/>
      <c r="K35" s="1552"/>
      <c r="L35" s="1552"/>
      <c r="M35" s="1552"/>
      <c r="N35" s="1552"/>
      <c r="O35" s="1552"/>
      <c r="P35" s="1552"/>
    </row>
    <row r="36" spans="1:21">
      <c r="C36" s="1552"/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</row>
    <row r="37" spans="1:21">
      <c r="C37" s="1552"/>
      <c r="D37" s="1552"/>
      <c r="E37" s="1552"/>
      <c r="F37" s="1552"/>
      <c r="G37" s="1552"/>
      <c r="H37" s="1552"/>
      <c r="I37" s="1552"/>
      <c r="J37" s="1552"/>
      <c r="K37" s="1552"/>
      <c r="L37" s="1552"/>
      <c r="M37" s="1552"/>
      <c r="N37" s="1552"/>
      <c r="O37" s="1552"/>
      <c r="P37" s="1552"/>
    </row>
  </sheetData>
  <sheetProtection password="E23E" sheet="1" objects="1" scenarios="1"/>
  <mergeCells count="20">
    <mergeCell ref="S12:S13"/>
    <mergeCell ref="P11:P12"/>
    <mergeCell ref="Q11:Q12"/>
    <mergeCell ref="R11:T11"/>
    <mergeCell ref="C4:E4"/>
    <mergeCell ref="B9:B10"/>
    <mergeCell ref="AA8:AA10"/>
    <mergeCell ref="AB8:AB10"/>
    <mergeCell ref="AC8:AC10"/>
    <mergeCell ref="C9:C10"/>
    <mergeCell ref="D9:D10"/>
    <mergeCell ref="E9:E10"/>
    <mergeCell ref="G9:M9"/>
    <mergeCell ref="Y8:Y10"/>
    <mergeCell ref="G8:M8"/>
    <mergeCell ref="W8:W10"/>
    <mergeCell ref="X8:X10"/>
    <mergeCell ref="Z8:Z9"/>
    <mergeCell ref="F8:F10"/>
    <mergeCell ref="C8:E8"/>
  </mergeCells>
  <conditionalFormatting sqref="H16 H17:I17 H23:H24 I24 G27:K29 C27:D29 C31:D31 F31:L31 C23:D24 F23:F24 C20:D20 F20:K20 C16:D17 F16:F17">
    <cfRule type="expression" dxfId="140" priority="119" stopIfTrue="1">
      <formula>$F$4=0</formula>
    </cfRule>
  </conditionalFormatting>
  <conditionalFormatting sqref="P31:T31 P16:T17 P20:T20 P23:T24 P27:T29">
    <cfRule type="expression" dxfId="139" priority="133" stopIfTrue="1">
      <formula>$F$4=0</formula>
    </cfRule>
  </conditionalFormatting>
  <conditionalFormatting sqref="A1:U1">
    <cfRule type="expression" dxfId="138" priority="138" stopIfTrue="1">
      <formula>$F$4=0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G27:K29 H16:H17 I24 H23:H24 I17 C27:D29 F31:L31 C31:D31 F23:F24 C23:D24 F20:K20 C20:D20 F16:F17 C16:D17">
      <formula1>C16&gt;=0</formula1>
    </dataValidation>
  </dataValidations>
  <printOptions horizontalCentered="1" verticalCentered="1"/>
  <pageMargins left="0.19685039370078741" right="0.19685039370078741" top="0.19685039370078741" bottom="0.15748031496062992" header="0.15748031496062992" footer="0.1574803149606299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I10" zoomScale="80" zoomScaleNormal="80" workbookViewId="0"/>
  </sheetViews>
  <sheetFormatPr defaultColWidth="9.140625" defaultRowHeight="15"/>
  <cols>
    <col min="1" max="1" width="2.7109375" style="1547" customWidth="1"/>
    <col min="2" max="2" width="43.140625" style="1547" customWidth="1"/>
    <col min="3" max="16" width="10.7109375" style="1547" customWidth="1"/>
    <col min="17" max="18" width="2.7109375" style="1547" customWidth="1"/>
    <col min="19" max="25" width="15.7109375" style="1547" customWidth="1"/>
    <col min="26" max="26" width="4" style="1547" customWidth="1"/>
    <col min="27" max="16384" width="9.140625" style="1547"/>
  </cols>
  <sheetData>
    <row r="1" spans="1:26" ht="39.950000000000003" customHeight="1">
      <c r="A1" s="418"/>
      <c r="B1" s="461" t="str">
        <f>IF(G4=0,"Your Institution Does Not Complete This Table","")</f>
        <v>Your Institution Does Not Complete This Table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7"/>
    </row>
    <row r="2" spans="1:26" ht="30" customHeight="1">
      <c r="A2" s="841"/>
      <c r="B2" s="743" t="s">
        <v>344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/>
      <c r="R2" s="28"/>
      <c r="S2" s="12"/>
      <c r="T2" s="12"/>
      <c r="U2" s="12"/>
      <c r="V2" s="12"/>
      <c r="W2" s="12"/>
      <c r="X2" s="12"/>
      <c r="Y2" s="12"/>
      <c r="Z2" s="12"/>
    </row>
    <row r="3" spans="1:26" ht="15" customHeight="1">
      <c r="A3" s="752"/>
      <c r="B3" s="85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9"/>
      <c r="R3" s="28"/>
      <c r="S3" s="12"/>
      <c r="T3" s="12"/>
      <c r="U3" s="12"/>
      <c r="V3" s="12"/>
      <c r="W3" s="12"/>
      <c r="X3" s="12"/>
      <c r="Y3" s="12"/>
      <c r="Z3" s="12"/>
    </row>
    <row r="4" spans="1:26" ht="35.1" customHeight="1">
      <c r="A4" s="752"/>
      <c r="B4" s="889" t="s">
        <v>0</v>
      </c>
      <c r="C4" s="1839" t="str">
        <f>VLOOKUP('Background Data'!$C$2,Inst_Tables,2,FALSE)</f>
        <v>Glasgow, University of</v>
      </c>
      <c r="D4" s="1845"/>
      <c r="E4" s="1845"/>
      <c r="F4" s="1846"/>
      <c r="G4" s="780">
        <f>VLOOKUP('Background Data'!$C$2,Inst_Tables,4,FALSE)</f>
        <v>0</v>
      </c>
      <c r="H4" s="414"/>
      <c r="I4" s="13"/>
      <c r="J4" s="13"/>
      <c r="K4" s="13"/>
      <c r="L4" s="13"/>
      <c r="M4" s="13"/>
      <c r="N4" s="13"/>
      <c r="O4" s="13"/>
      <c r="P4" s="13"/>
      <c r="Q4" s="39"/>
      <c r="R4" s="28"/>
      <c r="S4" s="12"/>
      <c r="T4" s="12"/>
      <c r="U4" s="12"/>
      <c r="V4" s="12"/>
      <c r="W4" s="12"/>
      <c r="X4" s="12"/>
      <c r="Y4" s="12"/>
      <c r="Z4" s="12"/>
    </row>
    <row r="5" spans="1:26" ht="30" customHeight="1">
      <c r="A5" s="752"/>
      <c r="B5" s="855" t="s">
        <v>343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/>
      <c r="R5" s="28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752"/>
      <c r="B6" s="856" t="s">
        <v>428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/>
      <c r="R6" s="28"/>
      <c r="S6" s="12"/>
      <c r="T6" s="12"/>
      <c r="U6" s="12"/>
      <c r="V6" s="12"/>
      <c r="W6" s="12"/>
      <c r="X6" s="12"/>
      <c r="Y6" s="12"/>
      <c r="Z6" s="12"/>
    </row>
    <row r="7" spans="1:26" ht="15" customHeight="1" thickBot="1">
      <c r="A7" s="752"/>
      <c r="B7" s="85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/>
      <c r="R7" s="28"/>
      <c r="S7" s="12"/>
      <c r="T7" s="12"/>
      <c r="U7" s="12"/>
      <c r="V7" s="12"/>
      <c r="W7" s="12"/>
      <c r="X7" s="12"/>
      <c r="Y7" s="12"/>
      <c r="Z7" s="12"/>
    </row>
    <row r="8" spans="1:26" ht="35.1" customHeight="1">
      <c r="A8" s="752"/>
      <c r="B8" s="859"/>
      <c r="C8" s="1842" t="s">
        <v>13</v>
      </c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31"/>
      <c r="Q8" s="39"/>
      <c r="R8" s="28"/>
      <c r="S8" s="12"/>
      <c r="T8" s="12"/>
      <c r="U8" s="12"/>
      <c r="V8" s="12"/>
      <c r="W8" s="12"/>
      <c r="X8" s="12"/>
      <c r="Y8" s="12"/>
      <c r="Z8" s="12"/>
    </row>
    <row r="9" spans="1:26" ht="35.1" customHeight="1">
      <c r="A9" s="752"/>
      <c r="B9" s="860" t="s">
        <v>217</v>
      </c>
      <c r="C9" s="108">
        <v>0</v>
      </c>
      <c r="D9" s="109"/>
      <c r="E9" s="108" t="s">
        <v>25</v>
      </c>
      <c r="F9" s="109"/>
      <c r="G9" s="108">
        <v>2</v>
      </c>
      <c r="H9" s="109"/>
      <c r="I9" s="108">
        <v>3</v>
      </c>
      <c r="J9" s="109"/>
      <c r="K9" s="108">
        <v>4</v>
      </c>
      <c r="L9" s="109"/>
      <c r="M9" s="108">
        <v>5</v>
      </c>
      <c r="N9" s="109"/>
      <c r="O9" s="1843" t="s">
        <v>2</v>
      </c>
      <c r="P9" s="1844"/>
      <c r="Q9" s="39"/>
      <c r="R9" s="28"/>
      <c r="S9" s="12"/>
      <c r="T9" s="12"/>
      <c r="U9" s="12"/>
      <c r="V9" s="12"/>
      <c r="W9" s="12"/>
      <c r="X9" s="12"/>
      <c r="Y9" s="12"/>
      <c r="Z9" s="12"/>
    </row>
    <row r="10" spans="1:26" ht="35.1" customHeight="1">
      <c r="A10" s="752"/>
      <c r="B10" s="861"/>
      <c r="C10" s="20" t="s">
        <v>18</v>
      </c>
      <c r="D10" s="111" t="s">
        <v>64</v>
      </c>
      <c r="E10" s="20" t="s">
        <v>18</v>
      </c>
      <c r="F10" s="111" t="s">
        <v>64</v>
      </c>
      <c r="G10" s="20" t="s">
        <v>18</v>
      </c>
      <c r="H10" s="111" t="s">
        <v>64</v>
      </c>
      <c r="I10" s="20" t="s">
        <v>18</v>
      </c>
      <c r="J10" s="111" t="s">
        <v>64</v>
      </c>
      <c r="K10" s="20" t="s">
        <v>18</v>
      </c>
      <c r="L10" s="111" t="s">
        <v>64</v>
      </c>
      <c r="M10" s="20" t="s">
        <v>18</v>
      </c>
      <c r="N10" s="111" t="s">
        <v>64</v>
      </c>
      <c r="O10" s="110" t="s">
        <v>18</v>
      </c>
      <c r="P10" s="112" t="s">
        <v>64</v>
      </c>
      <c r="Q10" s="23"/>
      <c r="R10" s="28"/>
      <c r="S10" s="113" t="s">
        <v>60</v>
      </c>
      <c r="T10" s="12"/>
      <c r="U10" s="12"/>
      <c r="V10" s="12"/>
      <c r="W10" s="12"/>
      <c r="X10" s="12"/>
      <c r="Y10" s="12"/>
      <c r="Z10" s="12"/>
    </row>
    <row r="11" spans="1:26" ht="35.1" customHeight="1">
      <c r="A11" s="752"/>
      <c r="B11" s="861"/>
      <c r="C11" s="166" t="s">
        <v>31</v>
      </c>
      <c r="D11" s="165" t="s">
        <v>31</v>
      </c>
      <c r="E11" s="166" t="s">
        <v>31</v>
      </c>
      <c r="F11" s="165" t="s">
        <v>31</v>
      </c>
      <c r="G11" s="166" t="s">
        <v>31</v>
      </c>
      <c r="H11" s="165" t="s">
        <v>31</v>
      </c>
      <c r="I11" s="166" t="s">
        <v>31</v>
      </c>
      <c r="J11" s="165" t="s">
        <v>31</v>
      </c>
      <c r="K11" s="166" t="s">
        <v>31</v>
      </c>
      <c r="L11" s="165" t="s">
        <v>31</v>
      </c>
      <c r="M11" s="166" t="s">
        <v>31</v>
      </c>
      <c r="N11" s="165" t="s">
        <v>31</v>
      </c>
      <c r="O11" s="167" t="s">
        <v>115</v>
      </c>
      <c r="P11" s="742" t="s">
        <v>115</v>
      </c>
      <c r="Q11" s="23"/>
      <c r="R11" s="28"/>
      <c r="S11" s="114" t="s">
        <v>67</v>
      </c>
      <c r="T11" s="114" t="s">
        <v>68</v>
      </c>
      <c r="U11" s="114" t="s">
        <v>69</v>
      </c>
      <c r="V11" s="114" t="s">
        <v>70</v>
      </c>
      <c r="W11" s="114" t="s">
        <v>71</v>
      </c>
      <c r="X11" s="114" t="s">
        <v>72</v>
      </c>
      <c r="Y11" s="114" t="s">
        <v>2</v>
      </c>
      <c r="Z11" s="12"/>
    </row>
    <row r="12" spans="1:26" ht="30" customHeight="1" thickBot="1">
      <c r="A12" s="752"/>
      <c r="B12" s="862"/>
      <c r="C12" s="1130">
        <v>1</v>
      </c>
      <c r="D12" s="1130">
        <v>2</v>
      </c>
      <c r="E12" s="1130">
        <v>3</v>
      </c>
      <c r="F12" s="1130">
        <v>4</v>
      </c>
      <c r="G12" s="1130">
        <v>5</v>
      </c>
      <c r="H12" s="1130">
        <v>6</v>
      </c>
      <c r="I12" s="1130">
        <v>7</v>
      </c>
      <c r="J12" s="1130">
        <v>8</v>
      </c>
      <c r="K12" s="1130">
        <v>9</v>
      </c>
      <c r="L12" s="1130">
        <v>10</v>
      </c>
      <c r="M12" s="1130">
        <v>11</v>
      </c>
      <c r="N12" s="1130">
        <v>12</v>
      </c>
      <c r="O12" s="1130">
        <v>13</v>
      </c>
      <c r="P12" s="1133">
        <v>14</v>
      </c>
      <c r="Q12" s="23"/>
      <c r="R12" s="28"/>
      <c r="S12" s="778"/>
      <c r="T12" s="114"/>
      <c r="U12" s="114"/>
      <c r="V12" s="114"/>
      <c r="W12" s="114"/>
      <c r="X12" s="114"/>
      <c r="Y12" s="114"/>
      <c r="Z12" s="12"/>
    </row>
    <row r="13" spans="1:26" ht="45" customHeight="1">
      <c r="A13" s="752"/>
      <c r="B13" s="872" t="s">
        <v>11</v>
      </c>
      <c r="C13" s="115"/>
      <c r="D13" s="116"/>
      <c r="E13" s="117"/>
      <c r="F13" s="118"/>
      <c r="G13" s="115"/>
      <c r="H13" s="116"/>
      <c r="I13" s="117"/>
      <c r="J13" s="118"/>
      <c r="K13" s="115"/>
      <c r="L13" s="116"/>
      <c r="M13" s="117"/>
      <c r="N13" s="118"/>
      <c r="O13" s="119">
        <f>SUM(C13,E13,G13,I13,K13,M13)</f>
        <v>0</v>
      </c>
      <c r="P13" s="120">
        <f>SUM(D13,F13,H13,J13,L13,N13)</f>
        <v>0</v>
      </c>
      <c r="Q13" s="39"/>
      <c r="R13" s="28"/>
      <c r="S13" s="121" t="str">
        <f>IF(C13&lt;=D13,"OK","FTE larger than Headcount")</f>
        <v>OK</v>
      </c>
      <c r="T13" s="122" t="str">
        <f>IF(E13&lt;=F13,"OK","FTE larger than Headcount")</f>
        <v>OK</v>
      </c>
      <c r="U13" s="122" t="str">
        <f>IF(G13&lt;=H13,"OK","FTE larger than Headcount")</f>
        <v>OK</v>
      </c>
      <c r="V13" s="122" t="str">
        <f>IF(I13&lt;=J13,"OK","FTE larger than Headcount")</f>
        <v>OK</v>
      </c>
      <c r="W13" s="122" t="str">
        <f>IF(K13&lt;=L13,"OK","FTE larger than Headcount")</f>
        <v>OK</v>
      </c>
      <c r="X13" s="122" t="str">
        <f>IF(M13&lt;=N13,"OK","FTE larger than Headcount")</f>
        <v>OK</v>
      </c>
      <c r="Y13" s="123" t="str">
        <f>IF(O13&lt;=P13,"OK","FTE larger than Headcount")</f>
        <v>OK</v>
      </c>
      <c r="Z13" s="12"/>
    </row>
    <row r="14" spans="1:26" ht="45" customHeight="1" thickBot="1">
      <c r="A14" s="752"/>
      <c r="B14" s="902" t="s">
        <v>193</v>
      </c>
      <c r="C14" s="124"/>
      <c r="D14" s="125"/>
      <c r="E14" s="126"/>
      <c r="F14" s="127"/>
      <c r="G14" s="124"/>
      <c r="H14" s="125"/>
      <c r="I14" s="126"/>
      <c r="J14" s="127"/>
      <c r="K14" s="124"/>
      <c r="L14" s="125"/>
      <c r="M14" s="126"/>
      <c r="N14" s="127"/>
      <c r="O14" s="128">
        <f>SUM(C14,E14,G14,I14,K14,M14)</f>
        <v>0</v>
      </c>
      <c r="P14" s="129">
        <f>SUM(D14,F14,H14,J14,L14,N14)</f>
        <v>0</v>
      </c>
      <c r="Q14" s="39"/>
      <c r="R14" s="28"/>
      <c r="S14" s="130" t="str">
        <f>IF(C14&lt;=D14,"OK","FTE larger than Headcount")</f>
        <v>OK</v>
      </c>
      <c r="T14" s="131" t="str">
        <f>IF(E14&lt;=F14,"OK","FTE larger than Headcount")</f>
        <v>OK</v>
      </c>
      <c r="U14" s="131" t="str">
        <f>IF(G14&lt;=H14,"OK","FTE larger than Headcount")</f>
        <v>OK</v>
      </c>
      <c r="V14" s="131" t="str">
        <f>IF(I14&lt;=J14,"OK","FTE larger than Headcount")</f>
        <v>OK</v>
      </c>
      <c r="W14" s="131" t="str">
        <f>IF(K14&lt;=L14,"OK","FTE larger than Headcount")</f>
        <v>OK</v>
      </c>
      <c r="X14" s="131" t="str">
        <f>IF(M14&lt;=N14,"OK","FTE larger than Headcount")</f>
        <v>OK</v>
      </c>
      <c r="Y14" s="132" t="str">
        <f>IF(O14&lt;=P14,"OK","FTE larger than Headcount")</f>
        <v>OK</v>
      </c>
      <c r="Z14" s="12"/>
    </row>
    <row r="15" spans="1:26" ht="30" customHeight="1">
      <c r="A15" s="776"/>
      <c r="B15" s="85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28"/>
      <c r="S15" s="113"/>
      <c r="T15" s="12"/>
      <c r="U15" s="12"/>
      <c r="V15" s="12"/>
      <c r="W15" s="12"/>
      <c r="X15" s="12"/>
      <c r="Y15" s="12"/>
      <c r="Z15" s="12"/>
    </row>
    <row r="16" spans="1:26" ht="30" customHeight="1">
      <c r="A16" s="418"/>
      <c r="B16" s="86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05"/>
      <c r="Q16" s="105"/>
      <c r="R16" s="28"/>
      <c r="S16" s="113" t="s">
        <v>75</v>
      </c>
      <c r="T16" s="12"/>
      <c r="U16" s="12"/>
      <c r="V16" s="12"/>
      <c r="W16" s="12"/>
      <c r="X16" s="12"/>
      <c r="Y16" s="12"/>
      <c r="Z16" s="12"/>
    </row>
    <row r="17" spans="1:26" ht="9.9499999999999993" customHeight="1" thickBot="1">
      <c r="A17" s="418"/>
      <c r="B17" s="85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8"/>
      <c r="S17" s="113"/>
      <c r="T17" s="12"/>
      <c r="U17" s="12"/>
      <c r="V17" s="12"/>
      <c r="W17" s="12"/>
      <c r="X17" s="12"/>
      <c r="Y17" s="12"/>
      <c r="Z17" s="12"/>
    </row>
    <row r="18" spans="1:26" ht="45" customHeight="1">
      <c r="A18" s="418"/>
      <c r="B18" s="135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28"/>
      <c r="S18" s="137" t="str">
        <f>IF(OR((COUNTBLANK(C13:D13)=1),AND(MAX(C13,D13)&gt;0,MIN(C13,D13)=0)),"Only one of FTE and Headcount is non-zero","OK")</f>
        <v>OK</v>
      </c>
      <c r="T18" s="138" t="str">
        <f>IF(OR((COUNTBLANK(E13:F13)=1),AND(MAX(E13,F13)&gt;0,MIN(E13,F13)=0)),"Only one of FTE and Headcount is non-zero","OK")</f>
        <v>OK</v>
      </c>
      <c r="U18" s="138" t="str">
        <f>IF(OR((COUNTBLANK(G13:H13)=1),AND(MAX(G13,H13)&gt;0,MIN(G13,H13)=0)),"Only one of FTE and Headcount is non-zero","OK")</f>
        <v>OK</v>
      </c>
      <c r="V18" s="138" t="str">
        <f>IF(OR((COUNTBLANK(I13:J13)=1),AND(MAX(I13,J13)&gt;0,MIN(I13,J13)=0)),"Only one of FTE and Headcount is non-zero","OK")</f>
        <v>OK</v>
      </c>
      <c r="W18" s="138" t="str">
        <f>IF(OR((COUNTBLANK(K13:L13)=1),AND(MAX(K13,L13)&gt;0,MIN(K13,L13)=0)),"Only one of FTE and Headcount is non-zero","OK")</f>
        <v>OK</v>
      </c>
      <c r="X18" s="138" t="str">
        <f>IF(OR((COUNTBLANK(M13:N13)=1),AND(MAX(M13,N13)&gt;0,MIN(M13,N13)=0)),"Only one of FTE and Headcount is non-zero","OK")</f>
        <v>OK</v>
      </c>
      <c r="Y18" s="139" t="str">
        <f>IF(OR((COUNTBLANK(O13:P13)=1),AND(MAX(O13,P13)&gt;0,MIN(O13,P13)=0)),"Only one of FTE and Headcount is non-zero","OK")</f>
        <v>OK</v>
      </c>
      <c r="Z18" s="12"/>
    </row>
    <row r="19" spans="1:26" ht="45" customHeight="1" thickBot="1">
      <c r="A19" s="418"/>
      <c r="B19" s="28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 t="str">
        <f>IF(OR((COUNTBLANK(C14:D14)=1),AND(MAX(C14,D14)&gt;0,MIN(C14,D14)=0)),"Only one of FTE and Headcount is non-zero","OK")</f>
        <v>OK</v>
      </c>
      <c r="T19" s="142" t="str">
        <f>IF(OR((COUNTBLANK(E14:F14)=1),AND(MAX(E14,F14)&gt;0,MIN(E14,F14)=0)),"Only one of FTE and Headcount is non-zero","OK")</f>
        <v>OK</v>
      </c>
      <c r="U19" s="142" t="str">
        <f>IF(OR((COUNTBLANK(G14:H14)=1),AND(MAX(G14,H14)&gt;0,MIN(G14,H14)=0)),"Only one of FTE and Headcount is non-zero","OK")</f>
        <v>OK</v>
      </c>
      <c r="V19" s="142" t="str">
        <f>IF(OR((COUNTBLANK(I14:J14)=1),AND(MAX(I14,J14)&gt;0,MIN(I14,J14)=0)),"Only one of FTE and Headcount is non-zero","OK")</f>
        <v>OK</v>
      </c>
      <c r="W19" s="142" t="str">
        <f>IF(OR((COUNTBLANK(K14:L14)=1),AND(MAX(K14,L14)&gt;0,MIN(K14,L14)=0)),"Only one of FTE and Headcount is non-zero","OK")</f>
        <v>OK</v>
      </c>
      <c r="X19" s="142" t="str">
        <f>IF(OR((COUNTBLANK(M14:N14)=1),AND(MAX(M14,N14)&gt;0,MIN(M14,N14)=0)),"Only one of FTE and Headcount is non-zero","OK")</f>
        <v>OK</v>
      </c>
      <c r="Y19" s="143" t="str">
        <f>IF(OR((COUNTBLANK(O14:P14)=1),AND(MAX(O14,P14)&gt;0,MIN(O14,P14)=0)),"Only one of FTE and Headcount is non-zero","OK")</f>
        <v>OK</v>
      </c>
      <c r="Z19" s="12"/>
    </row>
    <row r="20" spans="1:26" ht="33.75" customHeight="1">
      <c r="A20" s="41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4"/>
      <c r="T20" s="144"/>
      <c r="U20" s="144"/>
      <c r="V20" s="144"/>
      <c r="W20" s="144"/>
      <c r="X20" s="144"/>
      <c r="Y20" s="144"/>
      <c r="Z20" s="12"/>
    </row>
    <row r="21" spans="1:26" ht="12.75" customHeight="1">
      <c r="B21" s="1545"/>
      <c r="C21" s="1552"/>
      <c r="D21" s="1552"/>
      <c r="E21" s="1552"/>
      <c r="F21" s="1552"/>
      <c r="G21" s="1552"/>
      <c r="H21" s="1552"/>
      <c r="I21" s="1552"/>
      <c r="J21" s="1552"/>
      <c r="K21" s="1552"/>
      <c r="L21" s="1552"/>
      <c r="M21" s="1552"/>
      <c r="N21" s="1552"/>
    </row>
    <row r="22" spans="1:26">
      <c r="C22" s="1552"/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</row>
    <row r="23" spans="1:26">
      <c r="C23" s="1552"/>
      <c r="D23" s="1552"/>
      <c r="E23" s="1552"/>
      <c r="F23" s="1552"/>
      <c r="G23" s="1552"/>
      <c r="H23" s="1552"/>
      <c r="I23" s="1552"/>
      <c r="J23" s="1552"/>
      <c r="K23" s="1552"/>
      <c r="L23" s="1552"/>
      <c r="M23" s="1552"/>
      <c r="N23" s="1552"/>
    </row>
  </sheetData>
  <sheetProtection password="E23E" sheet="1" objects="1" scenarios="1"/>
  <mergeCells count="3">
    <mergeCell ref="C8:P8"/>
    <mergeCell ref="O9:P9"/>
    <mergeCell ref="C4:F4"/>
  </mergeCells>
  <conditionalFormatting sqref="B3:D3 B18:D18">
    <cfRule type="expression" dxfId="137" priority="14" stopIfTrue="1">
      <formula>#REF!=0</formula>
    </cfRule>
  </conditionalFormatting>
  <conditionalFormatting sqref="B4:C4">
    <cfRule type="expression" dxfId="136" priority="18" stopIfTrue="1">
      <formula>#REF!=0</formula>
    </cfRule>
  </conditionalFormatting>
  <conditionalFormatting sqref="B5">
    <cfRule type="expression" dxfId="135" priority="1" stopIfTrue="1">
      <formula>#REF!=0</formula>
    </cfRule>
  </conditionalFormatting>
  <conditionalFormatting sqref="C13:N14">
    <cfRule type="expression" dxfId="134" priority="82" stopIfTrue="1">
      <formula>$G$4=0</formula>
    </cfRule>
  </conditionalFormatting>
  <conditionalFormatting sqref="S13:Y14 S18:Y19">
    <cfRule type="expression" dxfId="133" priority="83" stopIfTrue="1">
      <formula>$G$4=0</formula>
    </cfRule>
  </conditionalFormatting>
  <conditionalFormatting sqref="A1:Z1">
    <cfRule type="expression" dxfId="132" priority="85" stopIfTrue="1">
      <formula>$G$4=0</formula>
    </cfRule>
  </conditionalFormatting>
  <dataValidations count="2">
    <dataValidation allowBlank="1" sqref="S18:Y20 C12:P12"/>
    <dataValidation type="custom" allowBlank="1" showErrorMessage="1" errorTitle="Number less than 0" error="You are trying to enter a number which is less than 0, please re-enter a valid number." sqref="C13:N14">
      <formula1>C13&gt;=0</formula1>
    </dataValidation>
  </dataValidations>
  <printOptions horizontalCentered="1" verticalCentered="1"/>
  <pageMargins left="0.19685039370078741" right="0.19685039370078741" top="0.19685039370078741" bottom="0.23622047244094491" header="0.19685039370078741" footer="0.1574803149606299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8" zoomScale="80" zoomScaleNormal="80" workbookViewId="0">
      <selection activeCell="D14" sqref="D14"/>
    </sheetView>
  </sheetViews>
  <sheetFormatPr defaultColWidth="9.140625" defaultRowHeight="15"/>
  <cols>
    <col min="1" max="1" width="2.7109375" style="1547" customWidth="1"/>
    <col min="2" max="2" width="24.7109375" style="1547" customWidth="1"/>
    <col min="3" max="5" width="16.7109375" style="1547" customWidth="1"/>
    <col min="6" max="6" width="5.7109375" style="1547" customWidth="1"/>
    <col min="7" max="16384" width="9.140625" style="1547"/>
  </cols>
  <sheetData>
    <row r="1" spans="1:6" ht="39.950000000000003" customHeight="1">
      <c r="A1" s="418"/>
      <c r="B1" s="461" t="str">
        <f>IF(F4=0,"Your Institution Does Not Complete This Table","")</f>
        <v/>
      </c>
      <c r="C1" s="7"/>
      <c r="D1" s="7"/>
      <c r="E1" s="7"/>
      <c r="F1" s="7"/>
    </row>
    <row r="2" spans="1:6" ht="30" customHeight="1">
      <c r="A2" s="841"/>
      <c r="B2" s="743" t="s">
        <v>365</v>
      </c>
      <c r="C2" s="9"/>
      <c r="D2" s="9"/>
      <c r="E2" s="9"/>
      <c r="F2" s="548"/>
    </row>
    <row r="3" spans="1:6" ht="15" customHeight="1">
      <c r="A3" s="752"/>
      <c r="B3" s="135"/>
      <c r="C3" s="146"/>
      <c r="D3" s="146"/>
      <c r="E3" s="146"/>
      <c r="F3" s="147"/>
    </row>
    <row r="4" spans="1:6" ht="35.1" customHeight="1">
      <c r="A4" s="752"/>
      <c r="B4" s="865" t="s">
        <v>0</v>
      </c>
      <c r="C4" s="1849" t="str">
        <f>VLOOKUP('Background Data'!$C$2,Inst_Tables,2,FALSE)</f>
        <v>Glasgow, University of</v>
      </c>
      <c r="D4" s="1840"/>
      <c r="E4" s="1846"/>
      <c r="F4" s="547">
        <f>VLOOKUP('Background Data'!$C$2,Inst_Tables,5,FALSE)</f>
        <v>1</v>
      </c>
    </row>
    <row r="5" spans="1:6" ht="35.1" customHeight="1">
      <c r="A5" s="752"/>
      <c r="B5" s="866" t="s">
        <v>353</v>
      </c>
      <c r="C5" s="150"/>
      <c r="D5" s="32"/>
      <c r="E5" s="32"/>
      <c r="F5" s="152"/>
    </row>
    <row r="6" spans="1:6" ht="30" customHeight="1">
      <c r="A6" s="752"/>
      <c r="B6" s="856" t="s">
        <v>429</v>
      </c>
      <c r="C6" s="150"/>
      <c r="D6" s="32"/>
      <c r="E6" s="32"/>
      <c r="F6" s="152"/>
    </row>
    <row r="7" spans="1:6" ht="15" customHeight="1" thickBot="1">
      <c r="A7" s="752"/>
      <c r="B7" s="856"/>
      <c r="C7" s="150"/>
      <c r="D7" s="32"/>
      <c r="E7" s="32"/>
      <c r="F7" s="152"/>
    </row>
    <row r="8" spans="1:6" ht="60" customHeight="1">
      <c r="A8" s="752"/>
      <c r="B8" s="867"/>
      <c r="C8" s="1847" t="s">
        <v>366</v>
      </c>
      <c r="D8" s="1847"/>
      <c r="E8" s="1848"/>
      <c r="F8" s="39"/>
    </row>
    <row r="9" spans="1:6" ht="39.950000000000003" customHeight="1">
      <c r="A9" s="752"/>
      <c r="B9" s="868" t="s">
        <v>26</v>
      </c>
      <c r="C9" s="164" t="s">
        <v>310</v>
      </c>
      <c r="D9" s="110" t="s">
        <v>311</v>
      </c>
      <c r="E9" s="22" t="s">
        <v>2</v>
      </c>
      <c r="F9" s="39"/>
    </row>
    <row r="10" spans="1:6" ht="30" customHeight="1">
      <c r="A10" s="752"/>
      <c r="B10" s="869"/>
      <c r="C10" s="161" t="s">
        <v>27</v>
      </c>
      <c r="D10" s="162" t="s">
        <v>27</v>
      </c>
      <c r="E10" s="163" t="s">
        <v>27</v>
      </c>
      <c r="F10" s="39"/>
    </row>
    <row r="11" spans="1:6" ht="30" customHeight="1">
      <c r="A11" s="752"/>
      <c r="B11" s="870"/>
      <c r="C11" s="161" t="s">
        <v>31</v>
      </c>
      <c r="D11" s="162" t="s">
        <v>31</v>
      </c>
      <c r="E11" s="163" t="s">
        <v>3</v>
      </c>
      <c r="F11" s="39"/>
    </row>
    <row r="12" spans="1:6" ht="30" customHeight="1" thickBot="1">
      <c r="A12" s="752"/>
      <c r="B12" s="871"/>
      <c r="C12" s="1163">
        <v>1</v>
      </c>
      <c r="D12" s="1163">
        <v>2</v>
      </c>
      <c r="E12" s="1164">
        <v>3</v>
      </c>
      <c r="F12" s="39"/>
    </row>
    <row r="13" spans="1:6" ht="35.1" customHeight="1">
      <c r="A13" s="752"/>
      <c r="B13" s="872" t="s">
        <v>19</v>
      </c>
      <c r="C13" s="159">
        <v>370</v>
      </c>
      <c r="D13" s="160">
        <v>74</v>
      </c>
      <c r="E13" s="153">
        <f>SUM(C13,D13)</f>
        <v>444</v>
      </c>
      <c r="F13" s="23"/>
    </row>
    <row r="14" spans="1:6" ht="35.1" customHeight="1">
      <c r="A14" s="752"/>
      <c r="B14" s="873" t="s">
        <v>20</v>
      </c>
      <c r="C14" s="159">
        <v>93</v>
      </c>
      <c r="D14" s="160">
        <v>72</v>
      </c>
      <c r="E14" s="153">
        <f>SUM(C14,D14)</f>
        <v>165</v>
      </c>
      <c r="F14" s="23"/>
    </row>
    <row r="15" spans="1:6" ht="35.1" customHeight="1" thickBot="1">
      <c r="A15" s="752"/>
      <c r="B15" s="874" t="s">
        <v>2</v>
      </c>
      <c r="C15" s="154">
        <f>SUM(C13:C14)</f>
        <v>463</v>
      </c>
      <c r="D15" s="154">
        <f>SUM(D13:D14)</f>
        <v>146</v>
      </c>
      <c r="E15" s="155">
        <f>SUM(E13:E14)</f>
        <v>609</v>
      </c>
      <c r="F15" s="23"/>
    </row>
    <row r="16" spans="1:6" ht="24.95" customHeight="1">
      <c r="A16" s="776"/>
      <c r="B16" s="156"/>
      <c r="C16" s="156"/>
      <c r="D16" s="157"/>
      <c r="E16" s="157"/>
      <c r="F16" s="158"/>
    </row>
    <row r="17" spans="2:10" s="1553" customFormat="1" ht="12" customHeight="1">
      <c r="B17" s="1554"/>
    </row>
    <row r="18" spans="2:10">
      <c r="D18" s="1552"/>
      <c r="E18" s="1552"/>
      <c r="F18" s="1552"/>
      <c r="G18" s="1552"/>
      <c r="H18" s="1552"/>
      <c r="I18" s="1552"/>
      <c r="J18" s="1552"/>
    </row>
    <row r="19" spans="2:10">
      <c r="D19" s="1552"/>
      <c r="E19" s="1552"/>
      <c r="F19" s="1552"/>
      <c r="G19" s="1552"/>
      <c r="H19" s="1552"/>
      <c r="I19" s="1552"/>
      <c r="J19" s="1552"/>
    </row>
    <row r="20" spans="2:10">
      <c r="D20" s="1552"/>
      <c r="E20" s="1552"/>
      <c r="F20" s="1552"/>
      <c r="G20" s="1552"/>
      <c r="H20" s="1552"/>
      <c r="I20" s="1552"/>
      <c r="J20" s="1552"/>
    </row>
    <row r="25" spans="2:10" ht="12.75" customHeight="1"/>
  </sheetData>
  <sheetProtection password="E23E" sheet="1" objects="1" scenarios="1"/>
  <mergeCells count="2">
    <mergeCell ref="C8:E8"/>
    <mergeCell ref="C4:E4"/>
  </mergeCells>
  <conditionalFormatting sqref="B2">
    <cfRule type="expression" dxfId="131" priority="1" stopIfTrue="1">
      <formula>#REF!=0</formula>
    </cfRule>
  </conditionalFormatting>
  <conditionalFormatting sqref="A1:F1">
    <cfRule type="expression" dxfId="130" priority="86" stopIfTrue="1">
      <formula>$E$4=0</formula>
    </cfRule>
  </conditionalFormatting>
  <conditionalFormatting sqref="C13:D14">
    <cfRule type="expression" dxfId="129" priority="88" stopIfTrue="1">
      <formula>$E$4=0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C13:D14">
      <formula1>C13&gt;=0</formula1>
    </dataValidation>
  </dataValidations>
  <printOptions horizontalCentered="1" verticalCentered="1"/>
  <pageMargins left="0.2" right="0.19" top="0.2" bottom="0.25" header="0.17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opLeftCell="O17" zoomScale="70" zoomScaleNormal="70" workbookViewId="0">
      <selection activeCell="G15" sqref="G15"/>
    </sheetView>
  </sheetViews>
  <sheetFormatPr defaultColWidth="9.140625" defaultRowHeight="15"/>
  <cols>
    <col min="1" max="1" width="2.7109375" style="1547" customWidth="1"/>
    <col min="2" max="2" width="35.7109375" style="1547" customWidth="1"/>
    <col min="3" max="21" width="12.7109375" style="1547" customWidth="1"/>
    <col min="22" max="22" width="15.7109375" style="1547" customWidth="1"/>
    <col min="23" max="24" width="13.7109375" style="1547" customWidth="1"/>
    <col min="25" max="25" width="15.7109375" style="1547" customWidth="1"/>
    <col min="26" max="27" width="4.7109375" style="1547" customWidth="1"/>
    <col min="28" max="29" width="14.7109375" style="1547" customWidth="1"/>
    <col min="30" max="30" width="29.7109375" style="1547" customWidth="1"/>
    <col min="31" max="31" width="5.7109375" style="1547" customWidth="1"/>
    <col min="32" max="16384" width="9.140625" style="1547"/>
  </cols>
  <sheetData>
    <row r="1" spans="1:31" ht="39.950000000000003" customHeight="1">
      <c r="A1" s="418"/>
      <c r="B1" s="461" t="str">
        <f>IF(G4=0,"Your Institution Does Not Complete This Table","")</f>
        <v/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7"/>
      <c r="AD1" s="7"/>
      <c r="AE1" s="7"/>
    </row>
    <row r="2" spans="1:31" ht="30" customHeight="1">
      <c r="A2" s="841"/>
      <c r="B2" s="743" t="s">
        <v>367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45"/>
      <c r="AA2" s="32"/>
      <c r="AB2" s="28"/>
      <c r="AC2" s="12"/>
      <c r="AD2" s="12"/>
      <c r="AE2" s="12"/>
    </row>
    <row r="3" spans="1:31" ht="15" customHeight="1">
      <c r="A3" s="899"/>
      <c r="B3" s="85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949"/>
      <c r="AA3" s="32"/>
      <c r="AB3" s="28"/>
      <c r="AC3" s="12"/>
      <c r="AD3" s="12"/>
      <c r="AE3" s="12"/>
    </row>
    <row r="4" spans="1:31" ht="35.1" customHeight="1">
      <c r="A4" s="899"/>
      <c r="B4" s="889" t="s">
        <v>0</v>
      </c>
      <c r="C4" s="1839" t="str">
        <f>VLOOKUP('Background Data'!$C$2,Inst_Tables,2,FALSE)</f>
        <v>Glasgow, University of</v>
      </c>
      <c r="D4" s="1845"/>
      <c r="E4" s="1845"/>
      <c r="F4" s="1846"/>
      <c r="G4" s="945">
        <f>VLOOKUP('Background Data'!$C$2,Inst_Tables,6,FALSE)</f>
        <v>1</v>
      </c>
      <c r="H4" s="4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949"/>
      <c r="AA4" s="32"/>
      <c r="AB4" s="28"/>
      <c r="AC4" s="12"/>
      <c r="AD4" s="12"/>
      <c r="AE4" s="12"/>
    </row>
    <row r="5" spans="1:31" ht="30" customHeight="1">
      <c r="A5" s="899"/>
      <c r="B5" s="855" t="s">
        <v>416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9"/>
      <c r="AA5" s="32"/>
      <c r="AB5" s="28"/>
      <c r="AC5" s="12"/>
      <c r="AD5" s="12"/>
      <c r="AE5" s="12"/>
    </row>
    <row r="6" spans="1:31" ht="30" customHeight="1">
      <c r="A6" s="899"/>
      <c r="B6" s="856" t="s">
        <v>430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9"/>
      <c r="AA6" s="32"/>
      <c r="AB6" s="32"/>
      <c r="AC6" s="32"/>
      <c r="AD6" s="32"/>
      <c r="AE6" s="32"/>
    </row>
    <row r="7" spans="1:31" ht="15" customHeight="1" thickBot="1">
      <c r="A7" s="899"/>
      <c r="B7" s="85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9"/>
      <c r="AA7" s="32"/>
      <c r="AB7" s="28"/>
      <c r="AC7" s="12"/>
      <c r="AD7" s="12"/>
      <c r="AE7" s="12"/>
    </row>
    <row r="8" spans="1:31" ht="35.1" customHeight="1">
      <c r="A8" s="899"/>
      <c r="B8" s="906"/>
      <c r="C8" s="990" t="s">
        <v>261</v>
      </c>
      <c r="D8" s="1830" t="s">
        <v>262</v>
      </c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5"/>
      <c r="S8" s="1825"/>
      <c r="T8" s="1825"/>
      <c r="U8" s="1825"/>
      <c r="V8" s="1825"/>
      <c r="W8" s="1831"/>
      <c r="X8" s="908" t="s">
        <v>2</v>
      </c>
      <c r="Y8" s="1850" t="s">
        <v>272</v>
      </c>
      <c r="Z8" s="950"/>
      <c r="AA8" s="32"/>
      <c r="AB8" s="28"/>
      <c r="AC8" s="12"/>
      <c r="AD8" s="12"/>
      <c r="AE8" s="12"/>
    </row>
    <row r="9" spans="1:31" ht="50.1" customHeight="1">
      <c r="A9" s="899"/>
      <c r="B9" s="903" t="s">
        <v>241</v>
      </c>
      <c r="C9" s="914"/>
      <c r="D9" s="916" t="s">
        <v>242</v>
      </c>
      <c r="E9" s="20" t="s">
        <v>243</v>
      </c>
      <c r="F9" s="110" t="s">
        <v>263</v>
      </c>
      <c r="G9" s="20" t="s">
        <v>245</v>
      </c>
      <c r="H9" s="20" t="s">
        <v>246</v>
      </c>
      <c r="I9" s="20" t="s">
        <v>247</v>
      </c>
      <c r="J9" s="20" t="s">
        <v>248</v>
      </c>
      <c r="K9" s="20" t="s">
        <v>249</v>
      </c>
      <c r="L9" s="20" t="s">
        <v>250</v>
      </c>
      <c r="M9" s="20" t="s">
        <v>251</v>
      </c>
      <c r="N9" s="110" t="s">
        <v>267</v>
      </c>
      <c r="O9" s="110" t="s">
        <v>269</v>
      </c>
      <c r="P9" s="110" t="s">
        <v>268</v>
      </c>
      <c r="Q9" s="110" t="s">
        <v>266</v>
      </c>
      <c r="R9" s="20" t="s">
        <v>256</v>
      </c>
      <c r="S9" s="110" t="s">
        <v>264</v>
      </c>
      <c r="T9" s="20" t="s">
        <v>260</v>
      </c>
      <c r="U9" s="110" t="s">
        <v>265</v>
      </c>
      <c r="V9" s="741" t="s">
        <v>271</v>
      </c>
      <c r="W9" s="928" t="s">
        <v>270</v>
      </c>
      <c r="X9" s="907"/>
      <c r="Y9" s="1851"/>
      <c r="Z9" s="904"/>
      <c r="AA9" s="32"/>
      <c r="AB9" s="28"/>
      <c r="AC9" s="12"/>
      <c r="AD9" s="12"/>
      <c r="AE9" s="12"/>
    </row>
    <row r="10" spans="1:31" ht="30" customHeight="1">
      <c r="A10" s="899"/>
      <c r="B10" s="909"/>
      <c r="C10" s="914" t="s">
        <v>18</v>
      </c>
      <c r="D10" s="917" t="s">
        <v>18</v>
      </c>
      <c r="E10" s="162" t="s">
        <v>18</v>
      </c>
      <c r="F10" s="162" t="s">
        <v>18</v>
      </c>
      <c r="G10" s="162" t="s">
        <v>18</v>
      </c>
      <c r="H10" s="162" t="s">
        <v>18</v>
      </c>
      <c r="I10" s="162" t="s">
        <v>18</v>
      </c>
      <c r="J10" s="162" t="s">
        <v>18</v>
      </c>
      <c r="K10" s="162" t="s">
        <v>18</v>
      </c>
      <c r="L10" s="162" t="s">
        <v>18</v>
      </c>
      <c r="M10" s="162" t="s">
        <v>18</v>
      </c>
      <c r="N10" s="162" t="s">
        <v>18</v>
      </c>
      <c r="O10" s="162" t="s">
        <v>18</v>
      </c>
      <c r="P10" s="162" t="s">
        <v>18</v>
      </c>
      <c r="Q10" s="162" t="s">
        <v>18</v>
      </c>
      <c r="R10" s="162" t="s">
        <v>18</v>
      </c>
      <c r="S10" s="162" t="s">
        <v>18</v>
      </c>
      <c r="T10" s="162" t="s">
        <v>18</v>
      </c>
      <c r="U10" s="162" t="s">
        <v>18</v>
      </c>
      <c r="V10" s="163" t="s">
        <v>18</v>
      </c>
      <c r="W10" s="915" t="s">
        <v>18</v>
      </c>
      <c r="X10" s="915" t="s">
        <v>18</v>
      </c>
      <c r="Y10" s="953" t="s">
        <v>18</v>
      </c>
      <c r="Z10" s="904"/>
      <c r="AA10" s="64"/>
      <c r="AB10" s="28"/>
      <c r="AC10" s="787"/>
      <c r="AD10" s="787"/>
      <c r="AE10" s="787"/>
    </row>
    <row r="11" spans="1:31" ht="35.1" customHeight="1">
      <c r="A11" s="899"/>
      <c r="B11" s="909"/>
      <c r="C11" s="914" t="s">
        <v>31</v>
      </c>
      <c r="D11" s="918" t="s">
        <v>31</v>
      </c>
      <c r="E11" s="25" t="s">
        <v>31</v>
      </c>
      <c r="F11" s="905" t="s">
        <v>31</v>
      </c>
      <c r="G11" s="25" t="s">
        <v>31</v>
      </c>
      <c r="H11" s="905" t="s">
        <v>31</v>
      </c>
      <c r="I11" s="25" t="s">
        <v>31</v>
      </c>
      <c r="J11" s="905" t="s">
        <v>31</v>
      </c>
      <c r="K11" s="25" t="s">
        <v>31</v>
      </c>
      <c r="L11" s="905" t="s">
        <v>31</v>
      </c>
      <c r="M11" s="25" t="s">
        <v>31</v>
      </c>
      <c r="N11" s="905" t="s">
        <v>31</v>
      </c>
      <c r="O11" s="25" t="s">
        <v>31</v>
      </c>
      <c r="P11" s="25" t="s">
        <v>31</v>
      </c>
      <c r="Q11" s="25" t="s">
        <v>31</v>
      </c>
      <c r="R11" s="25" t="s">
        <v>31</v>
      </c>
      <c r="S11" s="25" t="s">
        <v>31</v>
      </c>
      <c r="T11" s="25" t="s">
        <v>31</v>
      </c>
      <c r="U11" s="25" t="s">
        <v>31</v>
      </c>
      <c r="V11" s="26" t="s">
        <v>31</v>
      </c>
      <c r="W11" s="907" t="s">
        <v>115</v>
      </c>
      <c r="X11" s="907" t="s">
        <v>115</v>
      </c>
      <c r="Y11" s="954" t="s">
        <v>115</v>
      </c>
      <c r="Z11" s="904"/>
      <c r="AA11" s="64"/>
      <c r="AB11" s="28"/>
      <c r="AC11" s="787"/>
      <c r="AD11" s="787"/>
      <c r="AE11" s="787"/>
    </row>
    <row r="12" spans="1:31" ht="30" customHeight="1" thickBot="1">
      <c r="A12" s="899"/>
      <c r="B12" s="910"/>
      <c r="C12" s="1134">
        <v>1</v>
      </c>
      <c r="D12" s="1132">
        <v>2</v>
      </c>
      <c r="E12" s="1130">
        <v>3</v>
      </c>
      <c r="F12" s="1130">
        <v>4</v>
      </c>
      <c r="G12" s="1130">
        <v>5</v>
      </c>
      <c r="H12" s="1130">
        <v>6</v>
      </c>
      <c r="I12" s="1130">
        <v>7</v>
      </c>
      <c r="J12" s="1130">
        <v>8</v>
      </c>
      <c r="K12" s="1130">
        <v>9</v>
      </c>
      <c r="L12" s="1130">
        <v>10</v>
      </c>
      <c r="M12" s="1130">
        <v>11</v>
      </c>
      <c r="N12" s="1130">
        <v>12</v>
      </c>
      <c r="O12" s="1130">
        <v>13</v>
      </c>
      <c r="P12" s="1130">
        <v>14</v>
      </c>
      <c r="Q12" s="1130">
        <v>15</v>
      </c>
      <c r="R12" s="1130">
        <v>16</v>
      </c>
      <c r="S12" s="1130">
        <v>17</v>
      </c>
      <c r="T12" s="1130">
        <v>18</v>
      </c>
      <c r="U12" s="1130">
        <v>19</v>
      </c>
      <c r="V12" s="1133">
        <v>20</v>
      </c>
      <c r="W12" s="1165">
        <v>21</v>
      </c>
      <c r="X12" s="1134">
        <v>22</v>
      </c>
      <c r="Y12" s="1134">
        <v>23</v>
      </c>
      <c r="Z12" s="951"/>
      <c r="AA12" s="64"/>
      <c r="AB12" s="28"/>
      <c r="AC12" s="787"/>
      <c r="AD12" s="787"/>
      <c r="AE12" s="787"/>
    </row>
    <row r="13" spans="1:31" ht="24.95" customHeight="1">
      <c r="A13" s="899"/>
      <c r="B13" s="911" t="s">
        <v>242</v>
      </c>
      <c r="C13" s="933">
        <v>18</v>
      </c>
      <c r="D13" s="919"/>
      <c r="E13" s="935"/>
      <c r="F13" s="936"/>
      <c r="G13" s="937"/>
      <c r="H13" s="935"/>
      <c r="I13" s="935"/>
      <c r="J13" s="936"/>
      <c r="K13" s="937"/>
      <c r="L13" s="935"/>
      <c r="M13" s="935"/>
      <c r="N13" s="938"/>
      <c r="O13" s="939"/>
      <c r="P13" s="939"/>
      <c r="Q13" s="939"/>
      <c r="R13" s="939"/>
      <c r="S13" s="939"/>
      <c r="T13" s="939"/>
      <c r="U13" s="939"/>
      <c r="V13" s="940"/>
      <c r="W13" s="962">
        <f>SUM(D13:V13)</f>
        <v>0</v>
      </c>
      <c r="X13" s="961">
        <f>SUM(C13,W13)</f>
        <v>18</v>
      </c>
      <c r="Y13" s="947">
        <f>C13+$D$32+W13</f>
        <v>18</v>
      </c>
      <c r="Z13" s="952"/>
      <c r="AA13" s="32"/>
      <c r="AB13" s="28"/>
      <c r="AC13" s="787"/>
      <c r="AD13" s="787"/>
      <c r="AE13" s="787"/>
    </row>
    <row r="14" spans="1:31" ht="24.95" customHeight="1">
      <c r="A14" s="899"/>
      <c r="B14" s="912" t="s">
        <v>243</v>
      </c>
      <c r="C14" s="934">
        <v>8</v>
      </c>
      <c r="D14" s="929"/>
      <c r="E14" s="920"/>
      <c r="F14" s="43"/>
      <c r="G14" s="43"/>
      <c r="H14" s="43"/>
      <c r="I14" s="43"/>
      <c r="J14" s="43"/>
      <c r="K14" s="43"/>
      <c r="L14" s="43"/>
      <c r="M14" s="43"/>
      <c r="N14" s="43"/>
      <c r="O14" s="941"/>
      <c r="P14" s="941"/>
      <c r="Q14" s="941"/>
      <c r="R14" s="941"/>
      <c r="S14" s="941"/>
      <c r="T14" s="941"/>
      <c r="U14" s="941"/>
      <c r="V14" s="942"/>
      <c r="W14" s="963">
        <f>SUM(D14:V14)</f>
        <v>0</v>
      </c>
      <c r="X14" s="961">
        <f>SUM(C14,W14)</f>
        <v>8</v>
      </c>
      <c r="Y14" s="948">
        <f>C14+$E$32+W14</f>
        <v>8</v>
      </c>
      <c r="Z14" s="952"/>
      <c r="AA14" s="32"/>
      <c r="AB14" s="28"/>
      <c r="AC14" s="787"/>
      <c r="AD14" s="787"/>
      <c r="AE14" s="787"/>
    </row>
    <row r="15" spans="1:31" ht="24.95" customHeight="1">
      <c r="A15" s="899"/>
      <c r="B15" s="912" t="s">
        <v>244</v>
      </c>
      <c r="C15" s="934">
        <v>17</v>
      </c>
      <c r="D15" s="929"/>
      <c r="E15" s="920"/>
      <c r="F15" s="923"/>
      <c r="G15" s="43"/>
      <c r="H15" s="43"/>
      <c r="I15" s="43"/>
      <c r="J15" s="43"/>
      <c r="K15" s="43"/>
      <c r="L15" s="43"/>
      <c r="M15" s="43"/>
      <c r="N15" s="43"/>
      <c r="O15" s="941"/>
      <c r="P15" s="941"/>
      <c r="Q15" s="941"/>
      <c r="R15" s="941"/>
      <c r="S15" s="941"/>
      <c r="T15" s="941"/>
      <c r="U15" s="941"/>
      <c r="V15" s="942"/>
      <c r="W15" s="943">
        <f>SUM(D15:V15)</f>
        <v>0</v>
      </c>
      <c r="X15" s="961">
        <f t="shared" ref="X15:X31" si="0">SUM(C15,W15)</f>
        <v>17</v>
      </c>
      <c r="Y15" s="948">
        <f>C15+$F$32+W15</f>
        <v>17</v>
      </c>
      <c r="Z15" s="952"/>
      <c r="AA15" s="32"/>
      <c r="AB15" s="28"/>
      <c r="AC15" s="787"/>
      <c r="AD15" s="787"/>
      <c r="AE15" s="787"/>
    </row>
    <row r="16" spans="1:31" ht="24.95" customHeight="1">
      <c r="A16" s="899"/>
      <c r="B16" s="912" t="s">
        <v>245</v>
      </c>
      <c r="C16" s="934">
        <v>11</v>
      </c>
      <c r="D16" s="929"/>
      <c r="E16" s="920"/>
      <c r="F16" s="923"/>
      <c r="G16" s="920"/>
      <c r="H16" s="43"/>
      <c r="I16" s="43"/>
      <c r="J16" s="43"/>
      <c r="K16" s="43"/>
      <c r="L16" s="43"/>
      <c r="M16" s="43"/>
      <c r="N16" s="43"/>
      <c r="O16" s="941"/>
      <c r="P16" s="941"/>
      <c r="Q16" s="941"/>
      <c r="R16" s="941"/>
      <c r="S16" s="941"/>
      <c r="T16" s="941"/>
      <c r="U16" s="941"/>
      <c r="V16" s="942"/>
      <c r="W16" s="963">
        <f t="shared" ref="W16:W31" si="1">SUM(D16:V16)</f>
        <v>0</v>
      </c>
      <c r="X16" s="961">
        <f t="shared" si="0"/>
        <v>11</v>
      </c>
      <c r="Y16" s="948">
        <f>C16+$G$32+W16</f>
        <v>11</v>
      </c>
      <c r="Z16" s="952"/>
      <c r="AA16" s="32"/>
      <c r="AB16" s="28"/>
      <c r="AC16" s="787"/>
      <c r="AD16" s="787"/>
      <c r="AE16" s="787"/>
    </row>
    <row r="17" spans="1:31" ht="24.95" customHeight="1">
      <c r="A17" s="899"/>
      <c r="B17" s="912" t="s">
        <v>246</v>
      </c>
      <c r="C17" s="934">
        <v>21</v>
      </c>
      <c r="D17" s="929"/>
      <c r="E17" s="920"/>
      <c r="F17" s="923"/>
      <c r="G17" s="920"/>
      <c r="H17" s="923"/>
      <c r="I17" s="43"/>
      <c r="J17" s="43"/>
      <c r="K17" s="43"/>
      <c r="L17" s="43"/>
      <c r="M17" s="43"/>
      <c r="N17" s="43"/>
      <c r="O17" s="941"/>
      <c r="P17" s="941"/>
      <c r="Q17" s="941"/>
      <c r="R17" s="941"/>
      <c r="S17" s="941"/>
      <c r="T17" s="941"/>
      <c r="U17" s="941"/>
      <c r="V17" s="942"/>
      <c r="W17" s="963">
        <f t="shared" si="1"/>
        <v>0</v>
      </c>
      <c r="X17" s="961">
        <f t="shared" si="0"/>
        <v>21</v>
      </c>
      <c r="Y17" s="948">
        <f>C17+$H$32+W17</f>
        <v>21</v>
      </c>
      <c r="Z17" s="952"/>
      <c r="AA17" s="32"/>
      <c r="AB17" s="28"/>
      <c r="AC17" s="787"/>
      <c r="AD17" s="787"/>
      <c r="AE17" s="787"/>
    </row>
    <row r="18" spans="1:31" ht="24.95" customHeight="1">
      <c r="A18" s="899"/>
      <c r="B18" s="912" t="s">
        <v>247</v>
      </c>
      <c r="C18" s="934"/>
      <c r="D18" s="929"/>
      <c r="E18" s="920"/>
      <c r="F18" s="923"/>
      <c r="G18" s="920"/>
      <c r="H18" s="923"/>
      <c r="I18" s="920"/>
      <c r="J18" s="43"/>
      <c r="K18" s="43"/>
      <c r="L18" s="43"/>
      <c r="M18" s="43"/>
      <c r="N18" s="43"/>
      <c r="O18" s="941"/>
      <c r="P18" s="941"/>
      <c r="Q18" s="941"/>
      <c r="R18" s="941"/>
      <c r="S18" s="941"/>
      <c r="T18" s="941"/>
      <c r="U18" s="941"/>
      <c r="V18" s="942"/>
      <c r="W18" s="963">
        <f t="shared" si="1"/>
        <v>0</v>
      </c>
      <c r="X18" s="961">
        <f t="shared" si="0"/>
        <v>0</v>
      </c>
      <c r="Y18" s="948">
        <f>C18+$I$32+W18</f>
        <v>0</v>
      </c>
      <c r="Z18" s="952"/>
      <c r="AA18" s="32"/>
      <c r="AB18" s="28"/>
      <c r="AC18" s="787"/>
      <c r="AD18" s="787"/>
      <c r="AE18" s="787"/>
    </row>
    <row r="19" spans="1:31" ht="24.95" customHeight="1">
      <c r="A19" s="899"/>
      <c r="B19" s="912" t="s">
        <v>248</v>
      </c>
      <c r="C19" s="934">
        <v>31</v>
      </c>
      <c r="D19" s="929"/>
      <c r="E19" s="920"/>
      <c r="F19" s="923"/>
      <c r="G19" s="920"/>
      <c r="H19" s="923"/>
      <c r="I19" s="920"/>
      <c r="J19" s="923"/>
      <c r="K19" s="43"/>
      <c r="L19" s="43"/>
      <c r="M19" s="43"/>
      <c r="N19" s="43"/>
      <c r="O19" s="941"/>
      <c r="P19" s="941"/>
      <c r="Q19" s="941"/>
      <c r="R19" s="941"/>
      <c r="S19" s="941"/>
      <c r="T19" s="941"/>
      <c r="U19" s="941"/>
      <c r="V19" s="942"/>
      <c r="W19" s="963">
        <f t="shared" si="1"/>
        <v>0</v>
      </c>
      <c r="X19" s="961">
        <f t="shared" si="0"/>
        <v>31</v>
      </c>
      <c r="Y19" s="948">
        <f>C19+$J$32+W19</f>
        <v>31</v>
      </c>
      <c r="Z19" s="952"/>
      <c r="AA19" s="32"/>
      <c r="AB19" s="28"/>
      <c r="AC19" s="787"/>
      <c r="AD19" s="787"/>
      <c r="AE19" s="787"/>
    </row>
    <row r="20" spans="1:31" ht="24.95" customHeight="1">
      <c r="A20" s="899"/>
      <c r="B20" s="912" t="s">
        <v>249</v>
      </c>
      <c r="C20" s="934"/>
      <c r="D20" s="929"/>
      <c r="E20" s="920"/>
      <c r="F20" s="923"/>
      <c r="G20" s="920"/>
      <c r="H20" s="923"/>
      <c r="I20" s="920"/>
      <c r="J20" s="923"/>
      <c r="K20" s="920"/>
      <c r="L20" s="43"/>
      <c r="M20" s="43"/>
      <c r="N20" s="43"/>
      <c r="O20" s="941"/>
      <c r="P20" s="941"/>
      <c r="Q20" s="941"/>
      <c r="R20" s="941"/>
      <c r="S20" s="941"/>
      <c r="T20" s="941"/>
      <c r="U20" s="941"/>
      <c r="V20" s="942"/>
      <c r="W20" s="963">
        <f t="shared" si="1"/>
        <v>0</v>
      </c>
      <c r="X20" s="961">
        <f t="shared" si="0"/>
        <v>0</v>
      </c>
      <c r="Y20" s="948">
        <f>C20+$K$32+W20</f>
        <v>0</v>
      </c>
      <c r="Z20" s="952"/>
      <c r="AA20" s="32"/>
      <c r="AB20" s="28"/>
      <c r="AC20" s="787"/>
      <c r="AD20" s="787"/>
      <c r="AE20" s="787"/>
    </row>
    <row r="21" spans="1:31" ht="24.95" customHeight="1">
      <c r="A21" s="899"/>
      <c r="B21" s="912" t="s">
        <v>250</v>
      </c>
      <c r="C21" s="934">
        <v>8</v>
      </c>
      <c r="D21" s="929"/>
      <c r="E21" s="920"/>
      <c r="F21" s="923"/>
      <c r="G21" s="920"/>
      <c r="H21" s="923"/>
      <c r="I21" s="920"/>
      <c r="J21" s="923"/>
      <c r="K21" s="920"/>
      <c r="L21" s="923"/>
      <c r="M21" s="43"/>
      <c r="N21" s="43"/>
      <c r="O21" s="941"/>
      <c r="P21" s="941"/>
      <c r="Q21" s="941"/>
      <c r="R21" s="941"/>
      <c r="S21" s="941"/>
      <c r="T21" s="941"/>
      <c r="U21" s="941"/>
      <c r="V21" s="942"/>
      <c r="W21" s="963">
        <f t="shared" si="1"/>
        <v>0</v>
      </c>
      <c r="X21" s="961">
        <f t="shared" si="0"/>
        <v>8</v>
      </c>
      <c r="Y21" s="948">
        <f>C21+$L$32+W21</f>
        <v>8</v>
      </c>
      <c r="Z21" s="952"/>
      <c r="AA21" s="32"/>
      <c r="AB21" s="28"/>
      <c r="AC21" s="787"/>
      <c r="AD21" s="787"/>
      <c r="AE21" s="787"/>
    </row>
    <row r="22" spans="1:31" ht="24.95" customHeight="1">
      <c r="A22" s="899"/>
      <c r="B22" s="912" t="s">
        <v>251</v>
      </c>
      <c r="C22" s="934">
        <v>10</v>
      </c>
      <c r="D22" s="929"/>
      <c r="E22" s="920"/>
      <c r="F22" s="923"/>
      <c r="G22" s="920"/>
      <c r="H22" s="923"/>
      <c r="I22" s="920"/>
      <c r="J22" s="923"/>
      <c r="K22" s="920"/>
      <c r="L22" s="923"/>
      <c r="M22" s="920"/>
      <c r="N22" s="43"/>
      <c r="O22" s="941"/>
      <c r="P22" s="941"/>
      <c r="Q22" s="941"/>
      <c r="R22" s="941"/>
      <c r="S22" s="941"/>
      <c r="T22" s="941"/>
      <c r="U22" s="941"/>
      <c r="V22" s="942"/>
      <c r="W22" s="963">
        <f t="shared" si="1"/>
        <v>0</v>
      </c>
      <c r="X22" s="961">
        <f t="shared" si="0"/>
        <v>10</v>
      </c>
      <c r="Y22" s="948">
        <f>C22+$M$32+W22</f>
        <v>10</v>
      </c>
      <c r="Z22" s="952"/>
      <c r="AA22" s="32"/>
      <c r="AB22" s="28"/>
      <c r="AC22" s="787"/>
      <c r="AD22" s="787"/>
      <c r="AE22" s="787"/>
    </row>
    <row r="23" spans="1:31" ht="24.95" customHeight="1">
      <c r="A23" s="899"/>
      <c r="B23" s="912" t="s">
        <v>252</v>
      </c>
      <c r="C23" s="934"/>
      <c r="D23" s="929"/>
      <c r="E23" s="920"/>
      <c r="F23" s="923"/>
      <c r="G23" s="920"/>
      <c r="H23" s="923"/>
      <c r="I23" s="920"/>
      <c r="J23" s="923"/>
      <c r="K23" s="920"/>
      <c r="L23" s="923"/>
      <c r="M23" s="920"/>
      <c r="N23" s="923"/>
      <c r="O23" s="941"/>
      <c r="P23" s="941"/>
      <c r="Q23" s="941"/>
      <c r="R23" s="941"/>
      <c r="S23" s="941"/>
      <c r="T23" s="941"/>
      <c r="U23" s="941"/>
      <c r="V23" s="942"/>
      <c r="W23" s="963">
        <f t="shared" si="1"/>
        <v>0</v>
      </c>
      <c r="X23" s="961">
        <f t="shared" si="0"/>
        <v>0</v>
      </c>
      <c r="Y23" s="948">
        <f>C23+$N$32+W23</f>
        <v>0</v>
      </c>
      <c r="Z23" s="952"/>
      <c r="AA23" s="32"/>
      <c r="AB23" s="28"/>
      <c r="AC23" s="787"/>
      <c r="AD23" s="787"/>
      <c r="AE23" s="787"/>
    </row>
    <row r="24" spans="1:31" ht="24.95" customHeight="1">
      <c r="A24" s="899"/>
      <c r="B24" s="912" t="s">
        <v>253</v>
      </c>
      <c r="C24" s="934">
        <v>23</v>
      </c>
      <c r="D24" s="929"/>
      <c r="E24" s="920"/>
      <c r="F24" s="923"/>
      <c r="G24" s="920"/>
      <c r="H24" s="923"/>
      <c r="I24" s="920"/>
      <c r="J24" s="923"/>
      <c r="K24" s="920"/>
      <c r="L24" s="923"/>
      <c r="M24" s="920"/>
      <c r="N24" s="923"/>
      <c r="O24" s="925"/>
      <c r="P24" s="941"/>
      <c r="Q24" s="941"/>
      <c r="R24" s="941"/>
      <c r="S24" s="941"/>
      <c r="T24" s="941"/>
      <c r="U24" s="941"/>
      <c r="V24" s="942"/>
      <c r="W24" s="963">
        <f t="shared" si="1"/>
        <v>0</v>
      </c>
      <c r="X24" s="961">
        <f t="shared" si="0"/>
        <v>23</v>
      </c>
      <c r="Y24" s="948">
        <f>C24+$O$32+W24</f>
        <v>23</v>
      </c>
      <c r="Z24" s="952"/>
      <c r="AA24" s="32"/>
      <c r="AB24" s="28"/>
      <c r="AC24" s="787"/>
      <c r="AD24" s="787"/>
      <c r="AE24" s="787"/>
    </row>
    <row r="25" spans="1:31" ht="24.95" customHeight="1">
      <c r="A25" s="899"/>
      <c r="B25" s="912" t="s">
        <v>254</v>
      </c>
      <c r="C25" s="934">
        <v>25</v>
      </c>
      <c r="D25" s="929"/>
      <c r="E25" s="920"/>
      <c r="F25" s="921"/>
      <c r="G25" s="922"/>
      <c r="H25" s="923"/>
      <c r="I25" s="920"/>
      <c r="J25" s="921"/>
      <c r="K25" s="922"/>
      <c r="L25" s="923"/>
      <c r="M25" s="920"/>
      <c r="N25" s="924"/>
      <c r="O25" s="925"/>
      <c r="P25" s="926"/>
      <c r="Q25" s="941"/>
      <c r="R25" s="941"/>
      <c r="S25" s="941"/>
      <c r="T25" s="941"/>
      <c r="U25" s="941"/>
      <c r="V25" s="942"/>
      <c r="W25" s="963">
        <f t="shared" si="1"/>
        <v>0</v>
      </c>
      <c r="X25" s="961">
        <f t="shared" si="0"/>
        <v>25</v>
      </c>
      <c r="Y25" s="948">
        <f>C25+$P$32+W25</f>
        <v>25</v>
      </c>
      <c r="Z25" s="952"/>
      <c r="AA25" s="32"/>
      <c r="AB25" s="28"/>
      <c r="AC25" s="787"/>
      <c r="AD25" s="787"/>
      <c r="AE25" s="787"/>
    </row>
    <row r="26" spans="1:31" ht="24.95" customHeight="1">
      <c r="A26" s="899"/>
      <c r="B26" s="912" t="s">
        <v>255</v>
      </c>
      <c r="C26" s="934">
        <v>9</v>
      </c>
      <c r="D26" s="929"/>
      <c r="E26" s="920"/>
      <c r="F26" s="921"/>
      <c r="G26" s="922"/>
      <c r="H26" s="923"/>
      <c r="I26" s="920"/>
      <c r="J26" s="921"/>
      <c r="K26" s="922"/>
      <c r="L26" s="923"/>
      <c r="M26" s="920"/>
      <c r="N26" s="924"/>
      <c r="O26" s="925"/>
      <c r="P26" s="926"/>
      <c r="Q26" s="926"/>
      <c r="R26" s="941"/>
      <c r="S26" s="941"/>
      <c r="T26" s="941"/>
      <c r="U26" s="941"/>
      <c r="V26" s="942"/>
      <c r="W26" s="963">
        <f t="shared" si="1"/>
        <v>0</v>
      </c>
      <c r="X26" s="961">
        <f t="shared" si="0"/>
        <v>9</v>
      </c>
      <c r="Y26" s="948">
        <f>C26+$Q$32+W26</f>
        <v>9</v>
      </c>
      <c r="Z26" s="952"/>
      <c r="AA26" s="32"/>
      <c r="AB26" s="28"/>
      <c r="AC26" s="787"/>
      <c r="AD26" s="787"/>
      <c r="AE26" s="787"/>
    </row>
    <row r="27" spans="1:31" ht="24.95" customHeight="1" thickBot="1">
      <c r="A27" s="899"/>
      <c r="B27" s="912" t="s">
        <v>256</v>
      </c>
      <c r="C27" s="934"/>
      <c r="D27" s="929"/>
      <c r="E27" s="920"/>
      <c r="F27" s="921"/>
      <c r="G27" s="922"/>
      <c r="H27" s="923"/>
      <c r="I27" s="920"/>
      <c r="J27" s="921"/>
      <c r="K27" s="922"/>
      <c r="L27" s="923"/>
      <c r="M27" s="920"/>
      <c r="N27" s="924"/>
      <c r="O27" s="925"/>
      <c r="P27" s="926"/>
      <c r="Q27" s="926"/>
      <c r="R27" s="926"/>
      <c r="S27" s="941"/>
      <c r="T27" s="941"/>
      <c r="U27" s="941"/>
      <c r="V27" s="942"/>
      <c r="W27" s="963">
        <f t="shared" si="1"/>
        <v>0</v>
      </c>
      <c r="X27" s="961">
        <f t="shared" si="0"/>
        <v>0</v>
      </c>
      <c r="Y27" s="948">
        <f>C27+$R$32+W27</f>
        <v>0</v>
      </c>
      <c r="Z27" s="952"/>
      <c r="AA27" s="32"/>
      <c r="AB27" s="418"/>
      <c r="AC27" s="418"/>
      <c r="AD27" s="418"/>
      <c r="AE27" s="787"/>
    </row>
    <row r="28" spans="1:31" ht="24.95" customHeight="1">
      <c r="A28" s="899"/>
      <c r="B28" s="912" t="s">
        <v>257</v>
      </c>
      <c r="C28" s="934"/>
      <c r="D28" s="929"/>
      <c r="E28" s="920"/>
      <c r="F28" s="921"/>
      <c r="G28" s="922"/>
      <c r="H28" s="923"/>
      <c r="I28" s="920"/>
      <c r="J28" s="921"/>
      <c r="K28" s="922"/>
      <c r="L28" s="923"/>
      <c r="M28" s="920"/>
      <c r="N28" s="924"/>
      <c r="O28" s="925"/>
      <c r="P28" s="926"/>
      <c r="Q28" s="926"/>
      <c r="R28" s="926"/>
      <c r="S28" s="926"/>
      <c r="T28" s="941"/>
      <c r="U28" s="941"/>
      <c r="V28" s="942"/>
      <c r="W28" s="963">
        <f t="shared" si="1"/>
        <v>0</v>
      </c>
      <c r="X28" s="961">
        <f t="shared" si="0"/>
        <v>0</v>
      </c>
      <c r="Y28" s="948">
        <f>C28+$S$32+W28</f>
        <v>0</v>
      </c>
      <c r="Z28" s="952"/>
      <c r="AA28" s="32"/>
      <c r="AB28" s="1852" t="s">
        <v>274</v>
      </c>
      <c r="AC28" s="1853"/>
      <c r="AD28" s="1854"/>
      <c r="AE28" s="787"/>
    </row>
    <row r="29" spans="1:31" ht="24.95" customHeight="1">
      <c r="A29" s="899"/>
      <c r="B29" s="912" t="s">
        <v>260</v>
      </c>
      <c r="C29" s="934">
        <v>11</v>
      </c>
      <c r="D29" s="929"/>
      <c r="E29" s="920"/>
      <c r="F29" s="921"/>
      <c r="G29" s="922"/>
      <c r="H29" s="923"/>
      <c r="I29" s="920"/>
      <c r="J29" s="921"/>
      <c r="K29" s="922"/>
      <c r="L29" s="923"/>
      <c r="M29" s="920"/>
      <c r="N29" s="924"/>
      <c r="O29" s="925"/>
      <c r="P29" s="926"/>
      <c r="Q29" s="926"/>
      <c r="R29" s="926"/>
      <c r="S29" s="926"/>
      <c r="T29" s="926"/>
      <c r="U29" s="941"/>
      <c r="V29" s="942"/>
      <c r="W29" s="963">
        <f t="shared" si="1"/>
        <v>0</v>
      </c>
      <c r="X29" s="961">
        <f t="shared" si="0"/>
        <v>11</v>
      </c>
      <c r="Y29" s="948">
        <f>C29+$T$32+W29</f>
        <v>11</v>
      </c>
      <c r="Z29" s="952"/>
      <c r="AA29" s="32"/>
      <c r="AB29" s="959" t="s">
        <v>275</v>
      </c>
      <c r="AC29" s="1855" t="s">
        <v>276</v>
      </c>
      <c r="AD29" s="960" t="s">
        <v>77</v>
      </c>
      <c r="AE29" s="787"/>
    </row>
    <row r="30" spans="1:31" ht="24.95" customHeight="1">
      <c r="A30" s="899"/>
      <c r="B30" s="912" t="s">
        <v>258</v>
      </c>
      <c r="C30" s="934">
        <v>6</v>
      </c>
      <c r="D30" s="929"/>
      <c r="E30" s="920"/>
      <c r="F30" s="921"/>
      <c r="G30" s="922"/>
      <c r="H30" s="923"/>
      <c r="I30" s="920"/>
      <c r="J30" s="921"/>
      <c r="K30" s="922"/>
      <c r="L30" s="923"/>
      <c r="M30" s="920"/>
      <c r="N30" s="924"/>
      <c r="O30" s="925"/>
      <c r="P30" s="926"/>
      <c r="Q30" s="926"/>
      <c r="R30" s="926"/>
      <c r="S30" s="926"/>
      <c r="T30" s="926"/>
      <c r="U30" s="926"/>
      <c r="V30" s="940"/>
      <c r="W30" s="963">
        <f t="shared" si="1"/>
        <v>0</v>
      </c>
      <c r="X30" s="961">
        <f t="shared" si="0"/>
        <v>6</v>
      </c>
      <c r="Y30" s="948">
        <f>C30+$U$32+W30</f>
        <v>6</v>
      </c>
      <c r="Z30" s="952"/>
      <c r="AA30" s="32"/>
      <c r="AB30" s="957"/>
      <c r="AC30" s="1856"/>
      <c r="AD30" s="958"/>
      <c r="AE30" s="787"/>
    </row>
    <row r="31" spans="1:31" ht="24.95" customHeight="1">
      <c r="A31" s="899"/>
      <c r="B31" s="912" t="s">
        <v>259</v>
      </c>
      <c r="C31" s="934"/>
      <c r="D31" s="929"/>
      <c r="E31" s="920"/>
      <c r="F31" s="921"/>
      <c r="G31" s="922"/>
      <c r="H31" s="923"/>
      <c r="I31" s="920"/>
      <c r="J31" s="921"/>
      <c r="K31" s="922"/>
      <c r="L31" s="923"/>
      <c r="M31" s="920"/>
      <c r="N31" s="924"/>
      <c r="O31" s="925"/>
      <c r="P31" s="926"/>
      <c r="Q31" s="926"/>
      <c r="R31" s="926"/>
      <c r="S31" s="926"/>
      <c r="T31" s="926"/>
      <c r="U31" s="926"/>
      <c r="V31" s="927"/>
      <c r="W31" s="964">
        <f t="shared" si="1"/>
        <v>0</v>
      </c>
      <c r="X31" s="961">
        <f t="shared" si="0"/>
        <v>0</v>
      </c>
      <c r="Y31" s="948">
        <f>C31+$V$32+W31</f>
        <v>0</v>
      </c>
      <c r="Z31" s="952"/>
      <c r="AA31" s="32"/>
      <c r="AB31" s="957"/>
      <c r="AC31" s="1856"/>
      <c r="AD31" s="958"/>
      <c r="AE31" s="787"/>
    </row>
    <row r="32" spans="1:31" ht="30" customHeight="1" thickBot="1">
      <c r="A32" s="899"/>
      <c r="B32" s="913" t="s">
        <v>2</v>
      </c>
      <c r="C32" s="930">
        <f>SUM(C13:C31)</f>
        <v>198</v>
      </c>
      <c r="D32" s="956">
        <f>SUM(D13:D31)</f>
        <v>0</v>
      </c>
      <c r="E32" s="944">
        <f t="shared" ref="E32:U32" si="2">SUM(E13:E31)</f>
        <v>0</v>
      </c>
      <c r="F32" s="944">
        <f t="shared" si="2"/>
        <v>0</v>
      </c>
      <c r="G32" s="944">
        <f>SUM(G13:G31)</f>
        <v>0</v>
      </c>
      <c r="H32" s="944">
        <f t="shared" si="2"/>
        <v>0</v>
      </c>
      <c r="I32" s="944">
        <f>SUM(I13:I31)</f>
        <v>0</v>
      </c>
      <c r="J32" s="944">
        <f t="shared" si="2"/>
        <v>0</v>
      </c>
      <c r="K32" s="944">
        <f t="shared" si="2"/>
        <v>0</v>
      </c>
      <c r="L32" s="944">
        <f t="shared" si="2"/>
        <v>0</v>
      </c>
      <c r="M32" s="944">
        <f t="shared" si="2"/>
        <v>0</v>
      </c>
      <c r="N32" s="944">
        <f t="shared" si="2"/>
        <v>0</v>
      </c>
      <c r="O32" s="944">
        <f t="shared" si="2"/>
        <v>0</v>
      </c>
      <c r="P32" s="944">
        <f t="shared" si="2"/>
        <v>0</v>
      </c>
      <c r="Q32" s="944">
        <f t="shared" si="2"/>
        <v>0</v>
      </c>
      <c r="R32" s="944">
        <f t="shared" si="2"/>
        <v>0</v>
      </c>
      <c r="S32" s="944">
        <f t="shared" si="2"/>
        <v>0</v>
      </c>
      <c r="T32" s="944">
        <f t="shared" si="2"/>
        <v>0</v>
      </c>
      <c r="U32" s="944">
        <f t="shared" si="2"/>
        <v>0</v>
      </c>
      <c r="V32" s="944">
        <f>SUM(V13:V31)</f>
        <v>0</v>
      </c>
      <c r="W32" s="931">
        <f>SUM(W13:W31)</f>
        <v>0</v>
      </c>
      <c r="X32" s="931">
        <f>SUM(X13:X31)</f>
        <v>198</v>
      </c>
      <c r="Y32" s="946"/>
      <c r="Z32" s="952"/>
      <c r="AA32" s="32"/>
      <c r="AB32" s="932">
        <f>'Table 2a (ITE)'!$E$25</f>
        <v>198</v>
      </c>
      <c r="AC32" s="965">
        <f>X32-AB32</f>
        <v>0</v>
      </c>
      <c r="AD32" s="966" t="str">
        <f>IF(ABS(AC32)&gt;0.1,"Does not equal Table 2a","OK")</f>
        <v>OK</v>
      </c>
      <c r="AE32" s="787"/>
    </row>
    <row r="33" spans="1:31" ht="30" customHeight="1">
      <c r="A33" s="776"/>
      <c r="B33" s="955" t="s">
        <v>273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4"/>
      <c r="AA33" s="32"/>
      <c r="AB33" s="28"/>
      <c r="AC33" s="787"/>
      <c r="AD33" s="787"/>
      <c r="AE33" s="787"/>
    </row>
    <row r="34" spans="1:31" ht="30" customHeight="1">
      <c r="A34" s="418"/>
      <c r="B34" s="86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32"/>
      <c r="AA34" s="32"/>
      <c r="AB34" s="28"/>
      <c r="AC34" s="787"/>
      <c r="AD34" s="787"/>
      <c r="AE34" s="787"/>
    </row>
    <row r="35" spans="1:31" ht="12.75" customHeight="1">
      <c r="B35" s="1545"/>
      <c r="C35" s="1552"/>
      <c r="D35" s="1552"/>
      <c r="E35" s="1552"/>
      <c r="F35" s="1552"/>
      <c r="G35" s="1552"/>
      <c r="H35" s="1552"/>
      <c r="I35" s="1552"/>
      <c r="J35" s="1552"/>
      <c r="K35" s="1552"/>
      <c r="L35" s="1552"/>
      <c r="M35" s="1552"/>
      <c r="N35" s="1552"/>
    </row>
    <row r="36" spans="1:31">
      <c r="C36" s="1552"/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AC36" s="1555"/>
    </row>
    <row r="37" spans="1:31">
      <c r="C37" s="1552"/>
      <c r="D37" s="1552"/>
      <c r="E37" s="1552"/>
      <c r="F37" s="1552"/>
      <c r="G37" s="1552"/>
      <c r="H37" s="1552"/>
      <c r="I37" s="1552"/>
      <c r="J37" s="1552"/>
      <c r="K37" s="1552"/>
      <c r="L37" s="1552"/>
      <c r="M37" s="1552"/>
      <c r="N37" s="1552"/>
    </row>
  </sheetData>
  <sheetProtection password="E23E" sheet="1" objects="1" scenarios="1"/>
  <mergeCells count="5">
    <mergeCell ref="Y8:Y9"/>
    <mergeCell ref="AB28:AD28"/>
    <mergeCell ref="AC29:AC31"/>
    <mergeCell ref="C4:F4"/>
    <mergeCell ref="D8:W8"/>
  </mergeCells>
  <conditionalFormatting sqref="C13:C31">
    <cfRule type="expression" dxfId="128" priority="25">
      <formula>$G$4=0</formula>
    </cfRule>
  </conditionalFormatting>
  <conditionalFormatting sqref="E13:V13">
    <cfRule type="expression" dxfId="127" priority="24">
      <formula>$G$4=0</formula>
    </cfRule>
  </conditionalFormatting>
  <conditionalFormatting sqref="U14:U29">
    <cfRule type="expression" dxfId="126" priority="18">
      <formula>$G$4=0</formula>
    </cfRule>
  </conditionalFormatting>
  <conditionalFormatting sqref="S14:S27">
    <cfRule type="expression" dxfId="125" priority="16">
      <formula>$G$4=0</formula>
    </cfRule>
  </conditionalFormatting>
  <conditionalFormatting sqref="V14:V30">
    <cfRule type="expression" dxfId="124" priority="19">
      <formula>$G$4=0</formula>
    </cfRule>
  </conditionalFormatting>
  <conditionalFormatting sqref="T14:T28">
    <cfRule type="expression" dxfId="123" priority="17">
      <formula>$G$4=0</formula>
    </cfRule>
  </conditionalFormatting>
  <conditionalFormatting sqref="R14:R26">
    <cfRule type="expression" dxfId="122" priority="15">
      <formula>$G$4=0</formula>
    </cfRule>
  </conditionalFormatting>
  <conditionalFormatting sqref="Q14:Q25">
    <cfRule type="expression" dxfId="121" priority="14">
      <formula>$G$4=0</formula>
    </cfRule>
  </conditionalFormatting>
  <conditionalFormatting sqref="P14:P24">
    <cfRule type="expression" dxfId="120" priority="13">
      <formula>$G$4=0</formula>
    </cfRule>
  </conditionalFormatting>
  <conditionalFormatting sqref="O14:O23">
    <cfRule type="expression" dxfId="119" priority="12">
      <formula>$G$4=0</formula>
    </cfRule>
  </conditionalFormatting>
  <conditionalFormatting sqref="F14">
    <cfRule type="expression" dxfId="118" priority="3">
      <formula>$G$4=0</formula>
    </cfRule>
  </conditionalFormatting>
  <conditionalFormatting sqref="N14:N22">
    <cfRule type="expression" dxfId="117" priority="11">
      <formula>$G$4=0</formula>
    </cfRule>
  </conditionalFormatting>
  <conditionalFormatting sqref="M14:M21">
    <cfRule type="expression" dxfId="116" priority="10">
      <formula>$G$4=0</formula>
    </cfRule>
  </conditionalFormatting>
  <conditionalFormatting sqref="L14:L20">
    <cfRule type="expression" dxfId="115" priority="9">
      <formula>$G$4=0</formula>
    </cfRule>
  </conditionalFormatting>
  <conditionalFormatting sqref="K14:K19">
    <cfRule type="expression" dxfId="114" priority="8">
      <formula>$G$4=0</formula>
    </cfRule>
  </conditionalFormatting>
  <conditionalFormatting sqref="J14:J18">
    <cfRule type="expression" dxfId="113" priority="7">
      <formula>$G$4=0</formula>
    </cfRule>
  </conditionalFormatting>
  <conditionalFormatting sqref="I14:I17">
    <cfRule type="expression" dxfId="112" priority="6">
      <formula>$G$4=0</formula>
    </cfRule>
  </conditionalFormatting>
  <conditionalFormatting sqref="H14:H16">
    <cfRule type="expression" dxfId="111" priority="5">
      <formula>$G$4=0</formula>
    </cfRule>
  </conditionalFormatting>
  <conditionalFormatting sqref="G14:G15">
    <cfRule type="expression" dxfId="110" priority="4">
      <formula>$G$4=0</formula>
    </cfRule>
  </conditionalFormatting>
  <conditionalFormatting sqref="A1:AE1">
    <cfRule type="expression" dxfId="109" priority="2">
      <formula>$G$4=0</formula>
    </cfRule>
  </conditionalFormatting>
  <conditionalFormatting sqref="AB32:AD32">
    <cfRule type="expression" dxfId="108" priority="1">
      <formula>$G$4=0</formula>
    </cfRule>
  </conditionalFormatting>
  <dataValidations count="2">
    <dataValidation allowBlank="1" sqref="C12:Z12"/>
    <dataValidation type="custom" allowBlank="1" showErrorMessage="1" errorTitle="Number less than 0" error="You are trying to enter a number which is less than 0, please re-enter a valid number." sqref="C13:D32 E13:N31 E32:X32">
      <formula1>C13&gt;=0</formula1>
    </dataValidation>
  </dataValidations>
  <printOptions horizontalCentered="1" verticalCentered="1"/>
  <pageMargins left="0.19685039370078741" right="0.19685039370078741" top="0.19685039370078741" bottom="0.39370078740157483" header="0" footer="0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Q41"/>
  <sheetViews>
    <sheetView topLeftCell="U18" zoomScale="80" zoomScaleNormal="80" workbookViewId="0">
      <selection activeCell="C23" sqref="C23"/>
    </sheetView>
  </sheetViews>
  <sheetFormatPr defaultColWidth="9.7109375" defaultRowHeight="15"/>
  <cols>
    <col min="1" max="1" width="2.7109375" style="1556" customWidth="1"/>
    <col min="2" max="2" width="56.7109375" style="1556" customWidth="1"/>
    <col min="3" max="15" width="12.7109375" style="1556" customWidth="1"/>
    <col min="16" max="16" width="12.7109375" style="1564" customWidth="1"/>
    <col min="17" max="18" width="2.7109375" style="1556" customWidth="1"/>
    <col min="19" max="19" width="23.7109375" style="1556" customWidth="1"/>
    <col min="20" max="20" width="30.7109375" style="1556" customWidth="1"/>
    <col min="21" max="22" width="12.7109375" style="1556" customWidth="1"/>
    <col min="23" max="23" width="35.7109375" style="1556" customWidth="1"/>
    <col min="24" max="24" width="8.7109375" style="1556" customWidth="1"/>
    <col min="25" max="25" width="23.7109375" style="1556" customWidth="1"/>
    <col min="26" max="26" width="30.7109375" style="1556" customWidth="1"/>
    <col min="27" max="28" width="12.7109375" style="1556" customWidth="1"/>
    <col min="29" max="29" width="35.7109375" style="1556" customWidth="1"/>
    <col min="30" max="31" width="12.7109375" style="1556" customWidth="1"/>
    <col min="32" max="32" width="9.7109375" style="1556" customWidth="1"/>
    <col min="33" max="33" width="9.7109375" style="1556" hidden="1" customWidth="1"/>
    <col min="34" max="37" width="14.7109375" style="1556" hidden="1" customWidth="1"/>
    <col min="38" max="38" width="8.7109375" style="1556" hidden="1" customWidth="1"/>
    <col min="39" max="42" width="14.7109375" style="1556" hidden="1" customWidth="1"/>
    <col min="43" max="43" width="9.7109375" style="1556" hidden="1" customWidth="1"/>
    <col min="44" max="257" width="9.7109375" style="1556" customWidth="1"/>
    <col min="258" max="16384" width="9.7109375" style="1556"/>
  </cols>
  <sheetData>
    <row r="1" spans="1:42" ht="39.950000000000003" customHeight="1">
      <c r="A1" s="875"/>
      <c r="B1" s="461" t="str">
        <f>IF(F4=0,"Your Institution Does Not Complete This Table","")</f>
        <v/>
      </c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2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</row>
    <row r="2" spans="1:42" s="1558" customFormat="1" ht="30" customHeight="1">
      <c r="A2" s="881"/>
      <c r="B2" s="743" t="s">
        <v>369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4"/>
      <c r="N2" s="574"/>
      <c r="O2" s="575"/>
      <c r="P2" s="576"/>
      <c r="Q2" s="577"/>
      <c r="R2" s="578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1557"/>
      <c r="AG2" s="1557"/>
      <c r="AH2" s="1557"/>
      <c r="AI2" s="1557"/>
      <c r="AJ2" s="1557"/>
      <c r="AK2" s="1557"/>
      <c r="AL2" s="1557"/>
      <c r="AM2" s="1557"/>
    </row>
    <row r="3" spans="1:42" ht="15" customHeight="1">
      <c r="A3" s="879"/>
      <c r="B3" s="876"/>
      <c r="C3" s="580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2"/>
      <c r="R3" s="583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1557"/>
      <c r="AG3" s="1557"/>
      <c r="AH3" s="1557"/>
      <c r="AI3" s="1557"/>
      <c r="AJ3" s="1557"/>
      <c r="AK3" s="1553"/>
      <c r="AL3" s="1557"/>
      <c r="AM3" s="1557"/>
    </row>
    <row r="4" spans="1:42" ht="35.1" customHeight="1">
      <c r="A4" s="879"/>
      <c r="B4" s="865" t="s">
        <v>0</v>
      </c>
      <c r="C4" s="1849" t="str">
        <f>VLOOKUP('Background Data'!$C$2,Inst_Tables,2,FALSE)</f>
        <v>Glasgow, University of</v>
      </c>
      <c r="D4" s="1845"/>
      <c r="E4" s="1846"/>
      <c r="F4" s="148">
        <f>VLOOKUP('Background Data'!$C$2,Inst_Tables,7,FALSE)</f>
        <v>1</v>
      </c>
      <c r="G4" s="148"/>
      <c r="H4" s="148"/>
      <c r="I4" s="148"/>
      <c r="J4" s="148"/>
      <c r="K4" s="581"/>
      <c r="L4" s="581"/>
      <c r="M4" s="581"/>
      <c r="N4" s="581"/>
      <c r="O4" s="581"/>
      <c r="P4" s="581"/>
      <c r="Q4" s="585"/>
      <c r="R4" s="586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1557"/>
      <c r="AG4" s="1553"/>
      <c r="AK4" s="1552"/>
      <c r="AL4" s="1557"/>
      <c r="AM4" s="1553"/>
      <c r="AN4" s="1553"/>
      <c r="AO4" s="1553"/>
      <c r="AP4" s="1553"/>
    </row>
    <row r="5" spans="1:42" ht="35.1" customHeight="1">
      <c r="A5" s="879"/>
      <c r="B5" s="877" t="s">
        <v>355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9"/>
      <c r="Q5" s="590"/>
      <c r="R5" s="587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1557"/>
      <c r="AG5" s="1553"/>
      <c r="AH5" s="1552"/>
      <c r="AI5" s="1552"/>
      <c r="AJ5" s="1552"/>
      <c r="AK5" s="1552"/>
      <c r="AL5" s="1553"/>
      <c r="AM5" s="1553"/>
      <c r="AN5" s="1553"/>
      <c r="AO5" s="1553"/>
      <c r="AP5" s="1553"/>
    </row>
    <row r="6" spans="1:42" ht="30" customHeight="1">
      <c r="A6" s="879"/>
      <c r="B6" s="19" t="s">
        <v>431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9"/>
      <c r="Q6" s="590"/>
      <c r="R6" s="587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1557"/>
      <c r="AG6" s="1553"/>
      <c r="AH6" s="1552"/>
      <c r="AI6" s="1552"/>
      <c r="AJ6" s="1552"/>
      <c r="AK6" s="1552"/>
      <c r="AL6" s="1553"/>
      <c r="AM6" s="1553"/>
      <c r="AN6" s="1553"/>
      <c r="AO6" s="1553"/>
      <c r="AP6" s="1553"/>
    </row>
    <row r="7" spans="1:42" ht="15" customHeight="1" thickBot="1">
      <c r="A7" s="879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9"/>
      <c r="Q7" s="590"/>
      <c r="R7" s="587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1557"/>
      <c r="AG7" s="1553"/>
      <c r="AH7" s="1552"/>
      <c r="AI7" s="1552"/>
      <c r="AJ7" s="1552"/>
      <c r="AK7" s="1552"/>
      <c r="AL7" s="1553"/>
      <c r="AM7" s="1553"/>
      <c r="AN7" s="1553"/>
      <c r="AO7" s="1553"/>
      <c r="AP7" s="1553"/>
    </row>
    <row r="8" spans="1:42" ht="39.950000000000003" customHeight="1" thickBot="1">
      <c r="A8" s="879"/>
      <c r="B8" s="1880" t="s">
        <v>29</v>
      </c>
      <c r="C8" s="1881"/>
      <c r="D8" s="1881"/>
      <c r="E8" s="1881"/>
      <c r="F8" s="1881"/>
      <c r="G8" s="1881"/>
      <c r="H8" s="1881"/>
      <c r="I8" s="1881"/>
      <c r="J8" s="1881"/>
      <c r="K8" s="1881"/>
      <c r="L8" s="1881"/>
      <c r="M8" s="1881"/>
      <c r="N8" s="1881"/>
      <c r="O8" s="1881"/>
      <c r="P8" s="1882"/>
      <c r="Q8" s="590"/>
      <c r="R8" s="587"/>
      <c r="S8" s="591"/>
      <c r="T8" s="591"/>
      <c r="U8" s="591"/>
      <c r="V8" s="591"/>
      <c r="W8" s="591"/>
      <c r="X8" s="584"/>
      <c r="Y8" s="592"/>
      <c r="Z8" s="592"/>
      <c r="AA8" s="592"/>
      <c r="AB8" s="592"/>
      <c r="AC8" s="592"/>
      <c r="AD8" s="584"/>
      <c r="AE8" s="584"/>
      <c r="AF8" s="1557"/>
      <c r="AG8" s="1553"/>
      <c r="AH8" s="1559"/>
      <c r="AI8" s="1553"/>
      <c r="AJ8" s="1553"/>
      <c r="AK8" s="1553"/>
      <c r="AL8" s="1553"/>
      <c r="AN8" s="1553"/>
      <c r="AO8" s="1553"/>
      <c r="AP8" s="1553"/>
    </row>
    <row r="9" spans="1:42" ht="39.950000000000003" customHeight="1" thickBot="1">
      <c r="A9" s="879"/>
      <c r="B9" s="664"/>
      <c r="C9" s="1877" t="s">
        <v>178</v>
      </c>
      <c r="D9" s="1878"/>
      <c r="E9" s="1878"/>
      <c r="F9" s="1878"/>
      <c r="G9" s="1878"/>
      <c r="H9" s="1878"/>
      <c r="I9" s="1878"/>
      <c r="J9" s="1878"/>
      <c r="K9" s="1878"/>
      <c r="L9" s="1878"/>
      <c r="M9" s="1878"/>
      <c r="N9" s="1878"/>
      <c r="O9" s="1879"/>
      <c r="P9" s="1876" t="s">
        <v>157</v>
      </c>
      <c r="Q9" s="590"/>
      <c r="R9" s="587"/>
      <c r="S9" s="593"/>
      <c r="T9" s="593"/>
      <c r="U9" s="593"/>
      <c r="V9" s="593"/>
      <c r="W9" s="593"/>
      <c r="X9" s="584"/>
      <c r="Y9" s="594"/>
      <c r="Z9" s="594"/>
      <c r="AA9" s="594"/>
      <c r="AB9" s="594"/>
      <c r="AC9" s="594"/>
      <c r="AD9" s="584"/>
      <c r="AE9" s="584"/>
      <c r="AL9" s="1553"/>
    </row>
    <row r="10" spans="1:42" ht="39.950000000000003" customHeight="1" thickBot="1">
      <c r="A10" s="879"/>
      <c r="B10" s="664"/>
      <c r="C10" s="1878" t="s">
        <v>4</v>
      </c>
      <c r="D10" s="1878"/>
      <c r="E10" s="1878"/>
      <c r="F10" s="1878"/>
      <c r="G10" s="1878"/>
      <c r="H10" s="1878"/>
      <c r="I10" s="1878"/>
      <c r="J10" s="1877" t="s">
        <v>30</v>
      </c>
      <c r="K10" s="1878"/>
      <c r="L10" s="1878"/>
      <c r="M10" s="1878"/>
      <c r="N10" s="1879"/>
      <c r="O10" s="672" t="s">
        <v>2</v>
      </c>
      <c r="P10" s="1876"/>
      <c r="Q10" s="590"/>
      <c r="R10" s="587"/>
      <c r="S10" s="736"/>
      <c r="T10" s="736"/>
      <c r="U10" s="736"/>
      <c r="V10" s="736"/>
      <c r="W10" s="736"/>
      <c r="X10" s="584"/>
      <c r="Y10" s="736"/>
      <c r="Z10" s="736"/>
      <c r="AA10" s="736"/>
      <c r="AB10" s="736"/>
      <c r="AC10" s="736"/>
      <c r="AD10" s="584"/>
      <c r="AE10" s="584"/>
      <c r="AH10" s="1860" t="s">
        <v>4</v>
      </c>
      <c r="AI10" s="1861"/>
      <c r="AJ10" s="1861"/>
      <c r="AK10" s="1862"/>
      <c r="AL10" s="1553"/>
      <c r="AM10" s="1860" t="s">
        <v>30</v>
      </c>
      <c r="AN10" s="1861"/>
      <c r="AO10" s="1861"/>
      <c r="AP10" s="1862"/>
    </row>
    <row r="11" spans="1:42" ht="54.95" customHeight="1">
      <c r="A11" s="879"/>
      <c r="B11" s="665" t="s">
        <v>177</v>
      </c>
      <c r="C11" s="640" t="s">
        <v>116</v>
      </c>
      <c r="D11" s="657">
        <v>0</v>
      </c>
      <c r="E11" s="658" t="s">
        <v>25</v>
      </c>
      <c r="F11" s="658" t="s">
        <v>14</v>
      </c>
      <c r="G11" s="658" t="s">
        <v>15</v>
      </c>
      <c r="H11" s="658" t="s">
        <v>16</v>
      </c>
      <c r="I11" s="639" t="s">
        <v>185</v>
      </c>
      <c r="J11" s="659" t="s">
        <v>116</v>
      </c>
      <c r="K11" s="883" t="s">
        <v>15</v>
      </c>
      <c r="L11" s="658" t="s">
        <v>16</v>
      </c>
      <c r="M11" s="658" t="s">
        <v>17</v>
      </c>
      <c r="N11" s="635" t="s">
        <v>185</v>
      </c>
      <c r="O11" s="596"/>
      <c r="P11" s="1876"/>
      <c r="Q11" s="590"/>
      <c r="R11" s="587"/>
      <c r="S11" s="1872" t="s">
        <v>4</v>
      </c>
      <c r="T11" s="1873"/>
      <c r="U11" s="1873"/>
      <c r="V11" s="1873"/>
      <c r="W11" s="1874"/>
      <c r="X11" s="584"/>
      <c r="Y11" s="1872" t="s">
        <v>30</v>
      </c>
      <c r="Z11" s="1873"/>
      <c r="AA11" s="1873"/>
      <c r="AB11" s="1873"/>
      <c r="AC11" s="1874"/>
      <c r="AD11" s="584"/>
      <c r="AE11" s="584"/>
      <c r="AH11" s="1863" t="s">
        <v>236</v>
      </c>
      <c r="AI11" s="1866" t="s">
        <v>224</v>
      </c>
      <c r="AJ11" s="1866" t="s">
        <v>213</v>
      </c>
      <c r="AK11" s="1869" t="s">
        <v>237</v>
      </c>
      <c r="AL11" s="1553"/>
      <c r="AM11" s="1863" t="s">
        <v>236</v>
      </c>
      <c r="AN11" s="1866" t="s">
        <v>224</v>
      </c>
      <c r="AO11" s="1866" t="s">
        <v>213</v>
      </c>
      <c r="AP11" s="1869" t="s">
        <v>237</v>
      </c>
    </row>
    <row r="12" spans="1:42" ht="30" customHeight="1">
      <c r="A12" s="879"/>
      <c r="B12" s="666"/>
      <c r="C12" s="660" t="s">
        <v>18</v>
      </c>
      <c r="D12" s="645" t="s">
        <v>18</v>
      </c>
      <c r="E12" s="595" t="s">
        <v>18</v>
      </c>
      <c r="F12" s="595" t="s">
        <v>18</v>
      </c>
      <c r="G12" s="595" t="s">
        <v>18</v>
      </c>
      <c r="H12" s="595" t="s">
        <v>18</v>
      </c>
      <c r="I12" s="622" t="s">
        <v>18</v>
      </c>
      <c r="J12" s="646" t="s">
        <v>18</v>
      </c>
      <c r="K12" s="884" t="s">
        <v>18</v>
      </c>
      <c r="L12" s="595" t="s">
        <v>18</v>
      </c>
      <c r="M12" s="595" t="s">
        <v>18</v>
      </c>
      <c r="N12" s="620" t="s">
        <v>18</v>
      </c>
      <c r="O12" s="596" t="s">
        <v>18</v>
      </c>
      <c r="P12" s="596" t="s">
        <v>18</v>
      </c>
      <c r="Q12" s="590"/>
      <c r="R12" s="587"/>
      <c r="S12" s="1875" t="s">
        <v>196</v>
      </c>
      <c r="T12" s="1832" t="s">
        <v>197</v>
      </c>
      <c r="U12" s="1857" t="s">
        <v>209</v>
      </c>
      <c r="V12" s="1858"/>
      <c r="W12" s="1859"/>
      <c r="X12" s="584"/>
      <c r="Y12" s="1875" t="s">
        <v>196</v>
      </c>
      <c r="Z12" s="1832" t="s">
        <v>197</v>
      </c>
      <c r="AA12" s="1857" t="s">
        <v>209</v>
      </c>
      <c r="AB12" s="1858"/>
      <c r="AC12" s="1859"/>
      <c r="AD12" s="584"/>
      <c r="AE12" s="584"/>
      <c r="AH12" s="1864"/>
      <c r="AI12" s="1867"/>
      <c r="AJ12" s="1867"/>
      <c r="AK12" s="1870"/>
      <c r="AM12" s="1864"/>
      <c r="AN12" s="1867"/>
      <c r="AO12" s="1867"/>
      <c r="AP12" s="1870"/>
    </row>
    <row r="13" spans="1:42" ht="39.950000000000003" customHeight="1" thickBot="1">
      <c r="A13" s="879"/>
      <c r="B13" s="666"/>
      <c r="C13" s="661" t="s">
        <v>31</v>
      </c>
      <c r="D13" s="647" t="s">
        <v>31</v>
      </c>
      <c r="E13" s="624" t="s">
        <v>31</v>
      </c>
      <c r="F13" s="624" t="s">
        <v>31</v>
      </c>
      <c r="G13" s="624" t="s">
        <v>31</v>
      </c>
      <c r="H13" s="624" t="s">
        <v>31</v>
      </c>
      <c r="I13" s="639" t="s">
        <v>115</v>
      </c>
      <c r="J13" s="648" t="s">
        <v>31</v>
      </c>
      <c r="K13" s="885" t="s">
        <v>31</v>
      </c>
      <c r="L13" s="624" t="s">
        <v>31</v>
      </c>
      <c r="M13" s="624" t="s">
        <v>31</v>
      </c>
      <c r="N13" s="635" t="s">
        <v>115</v>
      </c>
      <c r="O13" s="777" t="s">
        <v>115</v>
      </c>
      <c r="P13" s="625" t="s">
        <v>31</v>
      </c>
      <c r="Q13" s="590"/>
      <c r="R13" s="587"/>
      <c r="S13" s="1818"/>
      <c r="T13" s="1819"/>
      <c r="U13" s="462" t="s">
        <v>61</v>
      </c>
      <c r="V13" s="1832" t="s">
        <v>210</v>
      </c>
      <c r="W13" s="29" t="s">
        <v>77</v>
      </c>
      <c r="X13" s="584"/>
      <c r="Y13" s="1818"/>
      <c r="Z13" s="1819"/>
      <c r="AA13" s="462" t="s">
        <v>61</v>
      </c>
      <c r="AB13" s="1832" t="s">
        <v>210</v>
      </c>
      <c r="AC13" s="29" t="s">
        <v>77</v>
      </c>
      <c r="AD13" s="584"/>
      <c r="AE13" s="584"/>
      <c r="AH13" s="1865"/>
      <c r="AI13" s="1868"/>
      <c r="AJ13" s="1868"/>
      <c r="AK13" s="1871"/>
      <c r="AM13" s="1865"/>
      <c r="AN13" s="1868"/>
      <c r="AO13" s="1868"/>
      <c r="AP13" s="1871"/>
    </row>
    <row r="14" spans="1:42" ht="30" customHeight="1" thickBot="1">
      <c r="A14" s="879"/>
      <c r="B14" s="673"/>
      <c r="C14" s="1166">
        <v>1</v>
      </c>
      <c r="D14" s="1167">
        <v>2</v>
      </c>
      <c r="E14" s="1168">
        <v>3</v>
      </c>
      <c r="F14" s="1166">
        <v>4</v>
      </c>
      <c r="G14" s="1168">
        <v>5</v>
      </c>
      <c r="H14" s="1168">
        <v>6</v>
      </c>
      <c r="I14" s="1166">
        <v>7</v>
      </c>
      <c r="J14" s="1170">
        <v>8</v>
      </c>
      <c r="K14" s="1169">
        <v>9</v>
      </c>
      <c r="L14" s="1166">
        <v>10</v>
      </c>
      <c r="M14" s="1168">
        <v>11</v>
      </c>
      <c r="N14" s="1171">
        <v>12</v>
      </c>
      <c r="O14" s="1166">
        <v>13</v>
      </c>
      <c r="P14" s="1170">
        <v>14</v>
      </c>
      <c r="Q14" s="590"/>
      <c r="R14" s="587"/>
      <c r="S14" s="719"/>
      <c r="T14" s="463"/>
      <c r="U14" s="720"/>
      <c r="V14" s="1833"/>
      <c r="W14" s="721"/>
      <c r="X14" s="584"/>
      <c r="Y14" s="719"/>
      <c r="Z14" s="463"/>
      <c r="AA14" s="720"/>
      <c r="AB14" s="1833"/>
      <c r="AC14" s="721"/>
      <c r="AD14" s="584"/>
      <c r="AE14" s="584"/>
      <c r="AH14" s="1550" t="s">
        <v>73</v>
      </c>
      <c r="AI14" s="1550" t="s">
        <v>73</v>
      </c>
      <c r="AJ14" s="1550" t="s">
        <v>73</v>
      </c>
      <c r="AK14" s="1550" t="s">
        <v>73</v>
      </c>
      <c r="AL14" s="1547"/>
      <c r="AM14" s="1550" t="s">
        <v>73</v>
      </c>
      <c r="AN14" s="1550" t="s">
        <v>73</v>
      </c>
      <c r="AO14" s="1550" t="s">
        <v>73</v>
      </c>
      <c r="AP14" s="1550" t="s">
        <v>73</v>
      </c>
    </row>
    <row r="15" spans="1:42" ht="35.1" customHeight="1">
      <c r="A15" s="879"/>
      <c r="B15" s="665" t="s">
        <v>234</v>
      </c>
      <c r="C15" s="661"/>
      <c r="D15" s="649"/>
      <c r="E15" s="597"/>
      <c r="F15" s="597"/>
      <c r="G15" s="885"/>
      <c r="H15" s="885"/>
      <c r="I15" s="640"/>
      <c r="J15" s="650"/>
      <c r="K15" s="598"/>
      <c r="L15" s="597"/>
      <c r="M15" s="624"/>
      <c r="N15" s="777"/>
      <c r="O15" s="777"/>
      <c r="P15" s="625"/>
      <c r="Q15" s="590"/>
      <c r="R15" s="587"/>
      <c r="S15" s="731"/>
      <c r="T15" s="732"/>
      <c r="U15" s="732"/>
      <c r="V15" s="732"/>
      <c r="W15" s="733"/>
      <c r="X15" s="584"/>
      <c r="Y15" s="40"/>
      <c r="Z15" s="732"/>
      <c r="AA15" s="732"/>
      <c r="AB15" s="732"/>
      <c r="AC15" s="737"/>
      <c r="AD15" s="584"/>
      <c r="AE15" s="584"/>
      <c r="AH15" s="1550"/>
      <c r="AI15" s="1550"/>
      <c r="AJ15" s="1550"/>
      <c r="AK15" s="1550"/>
      <c r="AL15" s="1547"/>
      <c r="AM15" s="1550"/>
      <c r="AN15" s="1550"/>
      <c r="AO15" s="1550"/>
      <c r="AP15" s="1550"/>
    </row>
    <row r="16" spans="1:42" ht="30" customHeight="1">
      <c r="A16" s="879"/>
      <c r="B16" s="667" t="s">
        <v>175</v>
      </c>
      <c r="C16" s="689">
        <v>163</v>
      </c>
      <c r="D16" s="701"/>
      <c r="E16" s="702">
        <v>169</v>
      </c>
      <c r="F16" s="702">
        <v>155</v>
      </c>
      <c r="G16" s="692"/>
      <c r="H16" s="692"/>
      <c r="I16" s="641">
        <f>SUM(D16:H16)</f>
        <v>324</v>
      </c>
      <c r="J16" s="703">
        <v>20</v>
      </c>
      <c r="K16" s="704">
        <v>171</v>
      </c>
      <c r="L16" s="702">
        <v>184</v>
      </c>
      <c r="M16" s="691">
        <v>198</v>
      </c>
      <c r="N16" s="632">
        <f>SUM(K16:M16)</f>
        <v>553</v>
      </c>
      <c r="O16" s="632">
        <f>SUM(I16,N16)</f>
        <v>877</v>
      </c>
      <c r="P16" s="694">
        <v>56</v>
      </c>
      <c r="Q16" s="590"/>
      <c r="R16" s="587"/>
      <c r="S16" s="79" t="str">
        <f>IF(AH16=1,Intake_missing,IF(AI16=1,Only_intake_recorded,"OK"))</f>
        <v>OK</v>
      </c>
      <c r="T16" s="51" t="str">
        <f>IF(OR(AJ16=1,AK16=1),Intake_inconsistent,"OK")</f>
        <v>OK</v>
      </c>
      <c r="U16" s="734">
        <f>'Table 1 (Main)'!$O$31</f>
        <v>324</v>
      </c>
      <c r="V16" s="735">
        <f>I16-U16</f>
        <v>0</v>
      </c>
      <c r="W16" s="81" t="str">
        <f>IF(ABS(V16)&gt;0.1,"Does not equal figure in Table 1","OK")</f>
        <v>OK</v>
      </c>
      <c r="X16" s="584"/>
      <c r="Y16" s="79" t="str">
        <f>IF(AM16=1,Intake_missing,IF(AN16=1,Only_intake_recorded,"OK"))</f>
        <v>OK</v>
      </c>
      <c r="Z16" s="51" t="str">
        <f>IF(OR(AO16=1,AP16=1),Intake_inconsistent,"OK")</f>
        <v>OK</v>
      </c>
      <c r="AA16" s="734">
        <f>'Table 1 (Main)'!$O$29</f>
        <v>553</v>
      </c>
      <c r="AB16" s="735">
        <f>N16-AA16</f>
        <v>0</v>
      </c>
      <c r="AC16" s="81" t="str">
        <f>IF(ABS(AB16)&gt;0.1,"Does not equal figure in Table 1","OK")</f>
        <v>OK</v>
      </c>
      <c r="AD16" s="584"/>
      <c r="AE16" s="584"/>
      <c r="AH16" s="1551">
        <f>IF(AND($C16=0,$I16&gt;0),1,0)</f>
        <v>0</v>
      </c>
      <c r="AI16" s="1551">
        <f>IF(AND($C16&gt;0,$I16=0),1,0)</f>
        <v>0</v>
      </c>
      <c r="AJ16" s="1551">
        <f>IF($C16&gt;$I16,1,0)</f>
        <v>0</v>
      </c>
      <c r="AK16" s="1551">
        <f>IF(AND($C16&gt;0,$C16=$I16),1,0)</f>
        <v>0</v>
      </c>
      <c r="AL16" s="1560"/>
      <c r="AM16" s="1551">
        <f>IF(AND($J16=0,$N16&gt;0),1,0)</f>
        <v>0</v>
      </c>
      <c r="AN16" s="1551">
        <f>IF(AND($J16&gt;0,$N16=0),1,0)</f>
        <v>0</v>
      </c>
      <c r="AO16" s="1551">
        <f>IF($J16&gt;$N16,1,0)</f>
        <v>0</v>
      </c>
      <c r="AP16" s="1551">
        <f>IF(AND($J16&gt;0,$J16=$N16),1,0)</f>
        <v>0</v>
      </c>
    </row>
    <row r="17" spans="1:42" ht="30" customHeight="1">
      <c r="A17" s="879"/>
      <c r="B17" s="667" t="s">
        <v>233</v>
      </c>
      <c r="C17" s="689">
        <v>56</v>
      </c>
      <c r="D17" s="701"/>
      <c r="E17" s="702">
        <v>57</v>
      </c>
      <c r="F17" s="702">
        <v>63</v>
      </c>
      <c r="G17" s="692"/>
      <c r="H17" s="692"/>
      <c r="I17" s="641">
        <f>SUM(D17:H17)</f>
        <v>120</v>
      </c>
      <c r="J17" s="703">
        <v>2</v>
      </c>
      <c r="K17" s="704">
        <v>57</v>
      </c>
      <c r="L17" s="702">
        <v>58</v>
      </c>
      <c r="M17" s="691">
        <v>39</v>
      </c>
      <c r="N17" s="632">
        <f>SUM(K17:M17)</f>
        <v>154</v>
      </c>
      <c r="O17" s="632">
        <f>SUM(I17,N17)</f>
        <v>274</v>
      </c>
      <c r="P17" s="694">
        <v>16</v>
      </c>
      <c r="Q17" s="590"/>
      <c r="R17" s="587"/>
      <c r="S17" s="79" t="str">
        <f>IF(AH17=1,Intake_missing,IF(AI17=1,Only_intake_recorded,"OK"))</f>
        <v>OK</v>
      </c>
      <c r="T17" s="51" t="str">
        <f>IF(OR(AJ17=1,AK17=1),Intake_inconsistent,"OK")</f>
        <v>OK</v>
      </c>
      <c r="U17" s="734">
        <f>'Table 1 (Main)'!$S$31</f>
        <v>120</v>
      </c>
      <c r="V17" s="735">
        <f>I17-U17</f>
        <v>0</v>
      </c>
      <c r="W17" s="81" t="str">
        <f>IF(ABS(V17)&gt;0.1,"Does not equal figure in Table 1","OK")</f>
        <v>OK</v>
      </c>
      <c r="X17" s="584"/>
      <c r="Y17" s="79" t="str">
        <f>IF(AM17=1,Intake_missing,IF(AN17=1,Only_intake_recorded,"OK"))</f>
        <v>OK</v>
      </c>
      <c r="Z17" s="51" t="str">
        <f>IF(OR(AO17=1,AP17=1),Intake_inconsistent,"OK")</f>
        <v>OK</v>
      </c>
      <c r="AA17" s="734">
        <f>'Table 1 (Main)'!$S$29</f>
        <v>154</v>
      </c>
      <c r="AB17" s="735">
        <f>N17-AA17</f>
        <v>0</v>
      </c>
      <c r="AC17" s="81" t="str">
        <f>IF(ABS(AB17)&gt;0.1,"Does not equal figure in Table 1","OK")</f>
        <v>OK</v>
      </c>
      <c r="AD17" s="584"/>
      <c r="AE17" s="584"/>
      <c r="AH17" s="1551">
        <f t="shared" ref="AH17:AH22" si="0">IF(AND($C17=0,$I17&gt;0),1,0)</f>
        <v>0</v>
      </c>
      <c r="AI17" s="1551">
        <f t="shared" ref="AI17:AI22" si="1">IF(AND($C17&gt;0,$I17=0),1,0)</f>
        <v>0</v>
      </c>
      <c r="AJ17" s="1551">
        <f t="shared" ref="AJ17:AJ22" si="2">IF($C17&gt;$I17,1,0)</f>
        <v>0</v>
      </c>
      <c r="AK17" s="1551">
        <f t="shared" ref="AK17:AK22" si="3">IF(AND($C17&gt;0,$C17=$I17),1,0)</f>
        <v>0</v>
      </c>
      <c r="AL17" s="1560"/>
      <c r="AM17" s="1551">
        <f>IF(AND($J17=0,$N17&gt;0),1,0)</f>
        <v>0</v>
      </c>
      <c r="AN17" s="1551">
        <f>IF(AND($J17&gt;0,$N17=0),1,0)</f>
        <v>0</v>
      </c>
      <c r="AO17" s="1551">
        <f>IF($J17&gt;$N17,1,0)</f>
        <v>0</v>
      </c>
      <c r="AP17" s="1551">
        <f>IF(AND($J17&gt;0,$J17=$N17),1,0)</f>
        <v>0</v>
      </c>
    </row>
    <row r="18" spans="1:42" ht="30" customHeight="1">
      <c r="A18" s="879"/>
      <c r="B18" s="668" t="s">
        <v>235</v>
      </c>
      <c r="C18" s="662">
        <f>SUM(C16:C17)</f>
        <v>219</v>
      </c>
      <c r="D18" s="651">
        <f>SUM(D16:D17)</f>
        <v>0</v>
      </c>
      <c r="E18" s="629">
        <f t="shared" ref="E18:H18" si="4">SUM(E16:E17)</f>
        <v>226</v>
      </c>
      <c r="F18" s="629">
        <f t="shared" si="4"/>
        <v>218</v>
      </c>
      <c r="G18" s="629">
        <f t="shared" si="4"/>
        <v>0</v>
      </c>
      <c r="H18" s="629">
        <f t="shared" si="4"/>
        <v>0</v>
      </c>
      <c r="I18" s="642">
        <f>SUM(I16:I17)</f>
        <v>444</v>
      </c>
      <c r="J18" s="652">
        <f t="shared" ref="J18:N18" si="5">SUM(J16:J17)</f>
        <v>22</v>
      </c>
      <c r="K18" s="630">
        <f t="shared" si="5"/>
        <v>228</v>
      </c>
      <c r="L18" s="629">
        <f t="shared" si="5"/>
        <v>242</v>
      </c>
      <c r="M18" s="629">
        <f t="shared" si="5"/>
        <v>237</v>
      </c>
      <c r="N18" s="631">
        <f t="shared" si="5"/>
        <v>707</v>
      </c>
      <c r="O18" s="637">
        <f>SUM(O16:O17)</f>
        <v>1151</v>
      </c>
      <c r="P18" s="637">
        <f>SUM(P16:P17)</f>
        <v>72</v>
      </c>
      <c r="Q18" s="590"/>
      <c r="R18" s="587"/>
      <c r="S18" s="71"/>
      <c r="T18" s="722"/>
      <c r="U18" s="722"/>
      <c r="V18" s="723"/>
      <c r="W18" s="73"/>
      <c r="X18" s="584"/>
      <c r="Y18" s="71"/>
      <c r="Z18" s="722"/>
      <c r="AA18" s="722"/>
      <c r="AB18" s="723"/>
      <c r="AC18" s="73"/>
      <c r="AD18" s="584"/>
      <c r="AE18" s="584"/>
      <c r="AH18" s="1551"/>
      <c r="AI18" s="1551"/>
      <c r="AJ18" s="1551"/>
      <c r="AK18" s="1551"/>
      <c r="AL18" s="1560"/>
      <c r="AM18" s="1551"/>
      <c r="AN18" s="1551"/>
      <c r="AO18" s="1551"/>
      <c r="AP18" s="1551"/>
    </row>
    <row r="19" spans="1:42" ht="35.1" customHeight="1">
      <c r="A19" s="879"/>
      <c r="B19" s="669" t="s">
        <v>176</v>
      </c>
      <c r="C19" s="663"/>
      <c r="D19" s="653"/>
      <c r="E19" s="601"/>
      <c r="F19" s="601"/>
      <c r="G19" s="601"/>
      <c r="H19" s="601"/>
      <c r="I19" s="643"/>
      <c r="J19" s="654"/>
      <c r="K19" s="600"/>
      <c r="L19" s="601"/>
      <c r="M19" s="599"/>
      <c r="N19" s="621"/>
      <c r="O19" s="638"/>
      <c r="P19" s="602"/>
      <c r="Q19" s="590"/>
      <c r="R19" s="587"/>
      <c r="S19" s="724"/>
      <c r="T19" s="725"/>
      <c r="U19" s="610"/>
      <c r="V19" s="611"/>
      <c r="W19" s="726"/>
      <c r="X19" s="584"/>
      <c r="Y19" s="724"/>
      <c r="Z19" s="725"/>
      <c r="AA19" s="610"/>
      <c r="AB19" s="611"/>
      <c r="AC19" s="726"/>
      <c r="AD19" s="584"/>
      <c r="AE19" s="584"/>
      <c r="AH19" s="1561"/>
      <c r="AI19" s="1561"/>
      <c r="AJ19" s="1561"/>
      <c r="AK19" s="1561"/>
      <c r="AL19" s="1560"/>
      <c r="AM19" s="1547"/>
    </row>
    <row r="20" spans="1:42" ht="30" customHeight="1">
      <c r="A20" s="879"/>
      <c r="B20" s="667" t="s">
        <v>183</v>
      </c>
      <c r="C20" s="689" t="s">
        <v>471</v>
      </c>
      <c r="D20" s="690" t="s">
        <v>471</v>
      </c>
      <c r="E20" s="691" t="s">
        <v>471</v>
      </c>
      <c r="F20" s="691"/>
      <c r="G20" s="692"/>
      <c r="H20" s="692"/>
      <c r="I20" s="641">
        <f>SUM(D20:H20)</f>
        <v>0</v>
      </c>
      <c r="J20" s="693">
        <v>15</v>
      </c>
      <c r="K20" s="692">
        <v>15</v>
      </c>
      <c r="L20" s="691">
        <v>12</v>
      </c>
      <c r="M20" s="691">
        <v>14</v>
      </c>
      <c r="N20" s="632">
        <f t="shared" ref="N20:N22" si="6">SUM(K20:M20)</f>
        <v>41</v>
      </c>
      <c r="O20" s="632">
        <f t="shared" ref="O20:O21" si="7">SUM(I20,N20)</f>
        <v>41</v>
      </c>
      <c r="P20" s="694"/>
      <c r="Q20" s="590"/>
      <c r="R20" s="587"/>
      <c r="S20" s="79" t="str">
        <f>IF(AH20=1,Intake_missing,IF(AI20=1,Only_intake_recorded,"OK"))</f>
        <v>OK</v>
      </c>
      <c r="T20" s="51" t="str">
        <f>IF(OR(AJ20=1,AK20=1),Intake_inconsistent,"OK")</f>
        <v>OK</v>
      </c>
      <c r="U20" s="727"/>
      <c r="V20" s="611"/>
      <c r="W20" s="726"/>
      <c r="X20" s="584"/>
      <c r="Y20" s="79" t="str">
        <f>IF(AM20=1,Intake_missing,IF(AN20=1,Only_intake_recorded,"OK"))</f>
        <v>OK</v>
      </c>
      <c r="Z20" s="51" t="str">
        <f>IF(OR(AO20=1,AP20=1),Intake_inconsistent,"OK")</f>
        <v>OK</v>
      </c>
      <c r="AA20" s="727"/>
      <c r="AB20" s="611"/>
      <c r="AC20" s="726"/>
      <c r="AD20" s="584"/>
      <c r="AE20" s="584"/>
      <c r="AH20" s="1551">
        <f t="shared" si="0"/>
        <v>0</v>
      </c>
      <c r="AI20" s="1551">
        <f t="shared" si="1"/>
        <v>0</v>
      </c>
      <c r="AJ20" s="1551">
        <f t="shared" si="2"/>
        <v>0</v>
      </c>
      <c r="AK20" s="1551">
        <f t="shared" si="3"/>
        <v>0</v>
      </c>
      <c r="AL20" s="1560"/>
      <c r="AM20" s="1551">
        <f t="shared" ref="AM20:AM22" si="8">IF(AND($J20=0,$N20&gt;0),1,0)</f>
        <v>0</v>
      </c>
      <c r="AN20" s="1551">
        <f t="shared" ref="AN20:AN22" si="9">IF(AND($J20&gt;0,$N20=0),1,0)</f>
        <v>0</v>
      </c>
      <c r="AO20" s="1551">
        <f t="shared" ref="AO20:AO22" si="10">IF($J20&gt;$N20,1,0)</f>
        <v>0</v>
      </c>
      <c r="AP20" s="1551">
        <f t="shared" ref="AP20:AP22" si="11">IF(AND($J20&gt;0,$J20=$N20),1,0)</f>
        <v>0</v>
      </c>
    </row>
    <row r="21" spans="1:42" ht="30" customHeight="1">
      <c r="A21" s="879"/>
      <c r="B21" s="667" t="s">
        <v>184</v>
      </c>
      <c r="C21" s="689"/>
      <c r="D21" s="690"/>
      <c r="E21" s="691"/>
      <c r="F21" s="691"/>
      <c r="G21" s="692"/>
      <c r="H21" s="692"/>
      <c r="I21" s="641">
        <f>SUM(D21:H21)</f>
        <v>0</v>
      </c>
      <c r="J21" s="693"/>
      <c r="K21" s="692"/>
      <c r="L21" s="691"/>
      <c r="M21" s="691"/>
      <c r="N21" s="632">
        <f t="shared" si="6"/>
        <v>0</v>
      </c>
      <c r="O21" s="632">
        <f t="shared" si="7"/>
        <v>0</v>
      </c>
      <c r="P21" s="694"/>
      <c r="Q21" s="590"/>
      <c r="R21" s="587"/>
      <c r="S21" s="79" t="str">
        <f>IF(AH21=1,Intake_missing,IF(AI21=1,Only_intake_recorded,"OK"))</f>
        <v>OK</v>
      </c>
      <c r="T21" s="51" t="str">
        <f>IF(OR(AJ21=1,AK21=1),Intake_inconsistent,"OK")</f>
        <v>OK</v>
      </c>
      <c r="U21" s="727"/>
      <c r="V21" s="611"/>
      <c r="W21" s="726"/>
      <c r="X21" s="584"/>
      <c r="Y21" s="79" t="str">
        <f>IF(AM21=1,Intake_missing,IF(AN21=1,Only_intake_recorded,"OK"))</f>
        <v>OK</v>
      </c>
      <c r="Z21" s="51" t="str">
        <f>IF(OR(AO21=1,AP21=1),Intake_inconsistent,"OK")</f>
        <v>OK</v>
      </c>
      <c r="AA21" s="727"/>
      <c r="AB21" s="611"/>
      <c r="AC21" s="726"/>
      <c r="AD21" s="584"/>
      <c r="AE21" s="584"/>
      <c r="AH21" s="1551">
        <f t="shared" si="0"/>
        <v>0</v>
      </c>
      <c r="AI21" s="1551">
        <f t="shared" si="1"/>
        <v>0</v>
      </c>
      <c r="AJ21" s="1551">
        <f t="shared" si="2"/>
        <v>0</v>
      </c>
      <c r="AK21" s="1551">
        <f t="shared" si="3"/>
        <v>0</v>
      </c>
      <c r="AL21" s="1560"/>
      <c r="AM21" s="1551">
        <f t="shared" si="8"/>
        <v>0</v>
      </c>
      <c r="AN21" s="1551">
        <f t="shared" si="9"/>
        <v>0</v>
      </c>
      <c r="AO21" s="1551">
        <f t="shared" si="10"/>
        <v>0</v>
      </c>
      <c r="AP21" s="1551">
        <f t="shared" si="11"/>
        <v>0</v>
      </c>
    </row>
    <row r="22" spans="1:42" ht="30" customHeight="1" thickBot="1">
      <c r="A22" s="879"/>
      <c r="B22" s="667" t="s">
        <v>82</v>
      </c>
      <c r="C22" s="689">
        <v>28</v>
      </c>
      <c r="D22" s="690" t="s">
        <v>471</v>
      </c>
      <c r="E22" s="691">
        <v>30</v>
      </c>
      <c r="F22" s="691">
        <v>24</v>
      </c>
      <c r="G22" s="692"/>
      <c r="H22" s="692"/>
      <c r="I22" s="641">
        <f>SUM(D22:H22)</f>
        <v>54</v>
      </c>
      <c r="J22" s="693">
        <v>5</v>
      </c>
      <c r="K22" s="692">
        <v>28</v>
      </c>
      <c r="L22" s="691">
        <v>32</v>
      </c>
      <c r="M22" s="691">
        <v>26</v>
      </c>
      <c r="N22" s="632">
        <f t="shared" si="6"/>
        <v>86</v>
      </c>
      <c r="O22" s="632">
        <f>SUM(I22,N22)</f>
        <v>140</v>
      </c>
      <c r="P22" s="694">
        <v>2</v>
      </c>
      <c r="Q22" s="590"/>
      <c r="R22" s="587"/>
      <c r="S22" s="90" t="str">
        <f>IF(AH22=1,Intake_missing,IF(AI22=1,Only_intake_recorded,"OK"))</f>
        <v>OK</v>
      </c>
      <c r="T22" s="604" t="str">
        <f>IF(OR(AJ22=1,AK22=1),Intake_inconsistent,"OK")</f>
        <v>OK</v>
      </c>
      <c r="U22" s="728"/>
      <c r="V22" s="729"/>
      <c r="W22" s="730"/>
      <c r="X22" s="584"/>
      <c r="Y22" s="90" t="str">
        <f>IF(AM22=1,Intake_missing,IF(AN22=1,Only_intake_recorded,"OK"))</f>
        <v>OK</v>
      </c>
      <c r="Z22" s="604" t="str">
        <f>IF(OR(AO22=1,AP22=1),Intake_inconsistent,"OK")</f>
        <v>OK</v>
      </c>
      <c r="AA22" s="728"/>
      <c r="AB22" s="729"/>
      <c r="AC22" s="730"/>
      <c r="AD22" s="584"/>
      <c r="AE22" s="584"/>
      <c r="AH22" s="1551">
        <f t="shared" si="0"/>
        <v>0</v>
      </c>
      <c r="AI22" s="1551">
        <f t="shared" si="1"/>
        <v>0</v>
      </c>
      <c r="AJ22" s="1551">
        <f t="shared" si="2"/>
        <v>0</v>
      </c>
      <c r="AK22" s="1551">
        <f t="shared" si="3"/>
        <v>0</v>
      </c>
      <c r="AL22" s="1560"/>
      <c r="AM22" s="1551">
        <f t="shared" si="8"/>
        <v>0</v>
      </c>
      <c r="AN22" s="1551">
        <f t="shared" si="9"/>
        <v>0</v>
      </c>
      <c r="AO22" s="1551">
        <f t="shared" si="10"/>
        <v>0</v>
      </c>
      <c r="AP22" s="1551">
        <f t="shared" si="11"/>
        <v>0</v>
      </c>
    </row>
    <row r="23" spans="1:42" ht="30" customHeight="1">
      <c r="A23" s="879"/>
      <c r="B23" s="670" t="s">
        <v>195</v>
      </c>
      <c r="C23" s="662">
        <f>SUM(C20:C22)</f>
        <v>28</v>
      </c>
      <c r="D23" s="655">
        <f>SUM(D20:D22)</f>
        <v>0</v>
      </c>
      <c r="E23" s="628">
        <f t="shared" ref="E23:M23" si="12">SUM(E20:E22)</f>
        <v>30</v>
      </c>
      <c r="F23" s="628">
        <f t="shared" si="12"/>
        <v>24</v>
      </c>
      <c r="G23" s="628">
        <f t="shared" si="12"/>
        <v>0</v>
      </c>
      <c r="H23" s="628">
        <f t="shared" si="12"/>
        <v>0</v>
      </c>
      <c r="I23" s="644">
        <f>SUM(I20:I22)</f>
        <v>54</v>
      </c>
      <c r="J23" s="656">
        <f t="shared" si="12"/>
        <v>20</v>
      </c>
      <c r="K23" s="627">
        <f t="shared" si="12"/>
        <v>43</v>
      </c>
      <c r="L23" s="628">
        <f t="shared" si="12"/>
        <v>44</v>
      </c>
      <c r="M23" s="628">
        <f t="shared" si="12"/>
        <v>40</v>
      </c>
      <c r="N23" s="636">
        <f>SUM(N20:N22)</f>
        <v>127</v>
      </c>
      <c r="O23" s="632">
        <f>SUM(O20:O22)</f>
        <v>181</v>
      </c>
      <c r="P23" s="632">
        <f>SUM(P20:P22)</f>
        <v>2</v>
      </c>
      <c r="Q23" s="590"/>
      <c r="R23" s="587"/>
      <c r="S23" s="593"/>
      <c r="T23" s="593"/>
      <c r="U23" s="593"/>
      <c r="V23" s="605"/>
      <c r="W23" s="593"/>
      <c r="X23" s="584"/>
      <c r="Y23" s="584"/>
      <c r="Z23" s="584"/>
      <c r="AA23" s="584"/>
      <c r="AB23" s="584"/>
      <c r="AC23" s="584"/>
      <c r="AD23" s="584"/>
      <c r="AE23" s="584"/>
      <c r="AH23" s="1561"/>
      <c r="AI23" s="1561"/>
      <c r="AJ23" s="1561"/>
      <c r="AK23" s="1561"/>
      <c r="AL23" s="1560"/>
      <c r="AM23" s="1547"/>
    </row>
    <row r="24" spans="1:42" ht="35.1" customHeight="1" thickBot="1">
      <c r="A24" s="879"/>
      <c r="B24" s="671" t="s">
        <v>2</v>
      </c>
      <c r="C24" s="688">
        <f>SUM(C18,C23)</f>
        <v>247</v>
      </c>
      <c r="D24" s="695">
        <f>SUM(D18,D23)</f>
        <v>0</v>
      </c>
      <c r="E24" s="696">
        <f>SUM(E18,E23)</f>
        <v>256</v>
      </c>
      <c r="F24" s="696">
        <f t="shared" ref="F24:N24" si="13">SUM(F18,F23)</f>
        <v>242</v>
      </c>
      <c r="G24" s="696">
        <f t="shared" si="13"/>
        <v>0</v>
      </c>
      <c r="H24" s="696">
        <f t="shared" si="13"/>
        <v>0</v>
      </c>
      <c r="I24" s="697">
        <f t="shared" si="13"/>
        <v>498</v>
      </c>
      <c r="J24" s="687">
        <f t="shared" si="13"/>
        <v>42</v>
      </c>
      <c r="K24" s="698">
        <f t="shared" si="13"/>
        <v>271</v>
      </c>
      <c r="L24" s="696">
        <f t="shared" si="13"/>
        <v>286</v>
      </c>
      <c r="M24" s="696">
        <f t="shared" si="13"/>
        <v>277</v>
      </c>
      <c r="N24" s="699">
        <f t="shared" si="13"/>
        <v>834</v>
      </c>
      <c r="O24" s="700">
        <f>SUM(O18,O23)</f>
        <v>1332</v>
      </c>
      <c r="P24" s="700">
        <f>SUM(P18,P23)</f>
        <v>74</v>
      </c>
      <c r="Q24" s="590"/>
      <c r="R24" s="587"/>
      <c r="S24" s="593"/>
      <c r="T24" s="593"/>
      <c r="U24" s="593"/>
      <c r="V24" s="605"/>
      <c r="W24" s="593"/>
      <c r="X24" s="584"/>
      <c r="Y24" s="584"/>
      <c r="Z24" s="584"/>
      <c r="AA24" s="584"/>
      <c r="AB24" s="584"/>
      <c r="AC24" s="584"/>
      <c r="AD24" s="584"/>
      <c r="AE24" s="584"/>
      <c r="AH24" s="1561"/>
      <c r="AI24" s="1561"/>
      <c r="AJ24" s="1561"/>
      <c r="AK24" s="1561"/>
      <c r="AL24" s="1560"/>
      <c r="AM24" s="1547"/>
    </row>
    <row r="25" spans="1:42" ht="30" customHeight="1" thickBot="1">
      <c r="A25" s="879"/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8"/>
      <c r="P25" s="608"/>
      <c r="Q25" s="590"/>
      <c r="R25" s="587"/>
      <c r="S25" s="594"/>
      <c r="T25" s="594"/>
      <c r="U25" s="594"/>
      <c r="V25" s="609"/>
      <c r="W25" s="594"/>
      <c r="X25" s="584"/>
      <c r="Y25" s="584"/>
      <c r="Z25" s="584"/>
      <c r="AA25" s="584"/>
      <c r="AB25" s="584"/>
      <c r="AC25" s="584"/>
      <c r="AD25" s="584"/>
      <c r="AE25" s="584"/>
      <c r="AH25" s="1551"/>
      <c r="AI25" s="1551"/>
      <c r="AJ25" s="1550"/>
      <c r="AK25" s="1562"/>
      <c r="AL25" s="1560"/>
      <c r="AM25" s="1547"/>
    </row>
    <row r="26" spans="1:42" ht="39.950000000000003" customHeight="1" thickBot="1">
      <c r="A26" s="879"/>
      <c r="B26" s="1880" t="s">
        <v>160</v>
      </c>
      <c r="C26" s="1881"/>
      <c r="D26" s="1881"/>
      <c r="E26" s="1881"/>
      <c r="F26" s="1881"/>
      <c r="G26" s="1881"/>
      <c r="H26" s="1881"/>
      <c r="I26" s="1881"/>
      <c r="J26" s="1881"/>
      <c r="K26" s="1881"/>
      <c r="L26" s="1881"/>
      <c r="M26" s="1881"/>
      <c r="N26" s="1882"/>
      <c r="O26" s="591"/>
      <c r="P26" s="591"/>
      <c r="Q26" s="590"/>
      <c r="R26" s="587"/>
      <c r="S26" s="594"/>
      <c r="T26" s="594"/>
      <c r="U26" s="594"/>
      <c r="V26" s="609"/>
      <c r="W26" s="594"/>
      <c r="X26" s="584"/>
      <c r="Y26" s="584"/>
      <c r="Z26" s="584"/>
      <c r="AA26" s="584"/>
      <c r="AB26" s="584"/>
      <c r="AC26" s="584"/>
      <c r="AD26" s="584"/>
      <c r="AE26" s="584"/>
      <c r="AH26" s="1551"/>
      <c r="AI26" s="1551"/>
      <c r="AJ26" s="1550"/>
      <c r="AK26" s="1562"/>
      <c r="AL26" s="1560"/>
      <c r="AM26" s="1547"/>
    </row>
    <row r="27" spans="1:42" ht="39.950000000000003" customHeight="1" thickBot="1">
      <c r="A27" s="879"/>
      <c r="B27" s="674"/>
      <c r="C27" s="1880" t="s">
        <v>178</v>
      </c>
      <c r="D27" s="1881"/>
      <c r="E27" s="1881"/>
      <c r="F27" s="1881"/>
      <c r="G27" s="1881"/>
      <c r="H27" s="1881"/>
      <c r="I27" s="1881"/>
      <c r="J27" s="1881"/>
      <c r="K27" s="1881"/>
      <c r="L27" s="1881"/>
      <c r="M27" s="1882"/>
      <c r="N27" s="1876" t="s">
        <v>157</v>
      </c>
      <c r="O27" s="591"/>
      <c r="P27" s="591"/>
      <c r="Q27" s="590"/>
      <c r="R27" s="587"/>
      <c r="S27" s="594"/>
      <c r="T27" s="594"/>
      <c r="U27" s="594"/>
      <c r="V27" s="609"/>
      <c r="W27" s="594"/>
      <c r="X27" s="584"/>
      <c r="Y27" s="584"/>
      <c r="Z27" s="584"/>
      <c r="AA27" s="584"/>
      <c r="AB27" s="584"/>
      <c r="AC27" s="584"/>
      <c r="AD27" s="584"/>
      <c r="AE27" s="584"/>
      <c r="AH27" s="1551"/>
      <c r="AI27" s="1551"/>
      <c r="AJ27" s="1550"/>
      <c r="AK27" s="1562"/>
      <c r="AL27" s="1560"/>
      <c r="AM27" s="1547"/>
    </row>
    <row r="28" spans="1:42" ht="39.950000000000003" customHeight="1" thickBot="1">
      <c r="A28" s="879"/>
      <c r="B28" s="674"/>
      <c r="C28" s="1880" t="s">
        <v>4</v>
      </c>
      <c r="D28" s="1881"/>
      <c r="E28" s="1881"/>
      <c r="F28" s="1882"/>
      <c r="G28" s="1877" t="s">
        <v>30</v>
      </c>
      <c r="H28" s="1878"/>
      <c r="I28" s="1878"/>
      <c r="J28" s="1878"/>
      <c r="K28" s="1878"/>
      <c r="L28" s="1879"/>
      <c r="M28" s="672" t="s">
        <v>2</v>
      </c>
      <c r="N28" s="1876"/>
      <c r="O28" s="591"/>
      <c r="P28" s="591"/>
      <c r="Q28" s="590"/>
      <c r="R28" s="587"/>
      <c r="S28" s="736"/>
      <c r="T28" s="736"/>
      <c r="U28" s="736"/>
      <c r="V28" s="736"/>
      <c r="W28" s="736"/>
      <c r="X28" s="738"/>
      <c r="Y28" s="736"/>
      <c r="Z28" s="736"/>
      <c r="AA28" s="736"/>
      <c r="AB28" s="736"/>
      <c r="AC28" s="736"/>
      <c r="AD28" s="584"/>
      <c r="AE28" s="584"/>
      <c r="AH28" s="1551"/>
      <c r="AI28" s="1551"/>
      <c r="AJ28" s="1550"/>
      <c r="AK28" s="1562"/>
      <c r="AL28" s="1560"/>
      <c r="AM28" s="1547"/>
    </row>
    <row r="29" spans="1:42" ht="54.95" customHeight="1">
      <c r="A29" s="879"/>
      <c r="B29" s="626" t="s">
        <v>177</v>
      </c>
      <c r="C29" s="680" t="s">
        <v>116</v>
      </c>
      <c r="D29" s="657">
        <v>0</v>
      </c>
      <c r="E29" s="658" t="s">
        <v>25</v>
      </c>
      <c r="F29" s="635" t="s">
        <v>185</v>
      </c>
      <c r="G29" s="640" t="s">
        <v>116</v>
      </c>
      <c r="H29" s="657" t="s">
        <v>14</v>
      </c>
      <c r="I29" s="658" t="s">
        <v>15</v>
      </c>
      <c r="J29" s="658" t="s">
        <v>16</v>
      </c>
      <c r="K29" s="658" t="s">
        <v>17</v>
      </c>
      <c r="L29" s="635" t="s">
        <v>185</v>
      </c>
      <c r="M29" s="596"/>
      <c r="N29" s="1876"/>
      <c r="O29" s="591"/>
      <c r="P29" s="591"/>
      <c r="Q29" s="590"/>
      <c r="R29" s="587"/>
      <c r="S29" s="1872" t="s">
        <v>4</v>
      </c>
      <c r="T29" s="1873"/>
      <c r="U29" s="1873"/>
      <c r="V29" s="1873"/>
      <c r="W29" s="1874"/>
      <c r="X29" s="584"/>
      <c r="Y29" s="1872" t="s">
        <v>30</v>
      </c>
      <c r="Z29" s="1873"/>
      <c r="AA29" s="1873"/>
      <c r="AB29" s="1873"/>
      <c r="AC29" s="1874"/>
      <c r="AD29" s="584"/>
      <c r="AE29" s="584"/>
      <c r="AH29" s="1551"/>
      <c r="AI29" s="1551"/>
      <c r="AJ29" s="1550"/>
      <c r="AK29" s="1562"/>
      <c r="AL29" s="1560"/>
      <c r="AM29" s="1547"/>
    </row>
    <row r="30" spans="1:42" ht="30" customHeight="1">
      <c r="A30" s="879"/>
      <c r="B30" s="623"/>
      <c r="C30" s="677" t="s">
        <v>18</v>
      </c>
      <c r="D30" s="645" t="s">
        <v>18</v>
      </c>
      <c r="E30" s="595" t="s">
        <v>18</v>
      </c>
      <c r="F30" s="620" t="s">
        <v>18</v>
      </c>
      <c r="G30" s="660" t="s">
        <v>18</v>
      </c>
      <c r="H30" s="645" t="s">
        <v>18</v>
      </c>
      <c r="I30" s="595" t="s">
        <v>18</v>
      </c>
      <c r="J30" s="595" t="s">
        <v>18</v>
      </c>
      <c r="K30" s="595" t="s">
        <v>18</v>
      </c>
      <c r="L30" s="620" t="s">
        <v>18</v>
      </c>
      <c r="M30" s="596" t="s">
        <v>18</v>
      </c>
      <c r="N30" s="596" t="s">
        <v>18</v>
      </c>
      <c r="O30" s="591"/>
      <c r="P30" s="591"/>
      <c r="Q30" s="590"/>
      <c r="R30" s="587"/>
      <c r="S30" s="1875" t="s">
        <v>196</v>
      </c>
      <c r="T30" s="1832" t="s">
        <v>197</v>
      </c>
      <c r="U30" s="1857" t="s">
        <v>209</v>
      </c>
      <c r="V30" s="1858"/>
      <c r="W30" s="1859"/>
      <c r="X30" s="584"/>
      <c r="Y30" s="1875" t="s">
        <v>196</v>
      </c>
      <c r="Z30" s="1832" t="s">
        <v>197</v>
      </c>
      <c r="AA30" s="1857" t="s">
        <v>209</v>
      </c>
      <c r="AB30" s="1858"/>
      <c r="AC30" s="1859"/>
      <c r="AD30" s="584"/>
      <c r="AE30" s="584"/>
      <c r="AH30" s="1551"/>
      <c r="AI30" s="1551"/>
      <c r="AJ30" s="1550"/>
      <c r="AK30" s="1562"/>
      <c r="AL30" s="1560"/>
      <c r="AM30" s="1547"/>
    </row>
    <row r="31" spans="1:42" ht="39.950000000000003" customHeight="1">
      <c r="A31" s="879"/>
      <c r="B31" s="623"/>
      <c r="C31" s="678" t="s">
        <v>31</v>
      </c>
      <c r="D31" s="647" t="s">
        <v>31</v>
      </c>
      <c r="E31" s="624" t="s">
        <v>31</v>
      </c>
      <c r="F31" s="635" t="s">
        <v>115</v>
      </c>
      <c r="G31" s="661" t="s">
        <v>31</v>
      </c>
      <c r="H31" s="647" t="s">
        <v>31</v>
      </c>
      <c r="I31" s="624" t="s">
        <v>31</v>
      </c>
      <c r="J31" s="624" t="s">
        <v>31</v>
      </c>
      <c r="K31" s="624" t="s">
        <v>31</v>
      </c>
      <c r="L31" s="635" t="s">
        <v>115</v>
      </c>
      <c r="M31" s="777" t="s">
        <v>115</v>
      </c>
      <c r="N31" s="634" t="s">
        <v>31</v>
      </c>
      <c r="O31" s="591"/>
      <c r="P31" s="593"/>
      <c r="Q31" s="590"/>
      <c r="R31" s="587"/>
      <c r="S31" s="1818"/>
      <c r="T31" s="1819"/>
      <c r="U31" s="462" t="s">
        <v>61</v>
      </c>
      <c r="V31" s="1832" t="s">
        <v>210</v>
      </c>
      <c r="W31" s="29" t="s">
        <v>77</v>
      </c>
      <c r="X31" s="584"/>
      <c r="Y31" s="1818"/>
      <c r="Z31" s="1819"/>
      <c r="AA31" s="462" t="s">
        <v>61</v>
      </c>
      <c r="AB31" s="1832" t="s">
        <v>210</v>
      </c>
      <c r="AC31" s="29" t="s">
        <v>77</v>
      </c>
      <c r="AD31" s="584"/>
      <c r="AE31" s="584"/>
      <c r="AH31" s="1551"/>
      <c r="AI31" s="1551"/>
      <c r="AJ31" s="1550"/>
      <c r="AK31" s="1562"/>
      <c r="AL31" s="1560"/>
      <c r="AM31" s="1547"/>
    </row>
    <row r="32" spans="1:42" ht="30" customHeight="1" thickBot="1">
      <c r="A32" s="879"/>
      <c r="B32" s="633"/>
      <c r="C32" s="1172">
        <v>1</v>
      </c>
      <c r="D32" s="1167">
        <v>2</v>
      </c>
      <c r="E32" s="1168">
        <v>3</v>
      </c>
      <c r="F32" s="1173">
        <v>4</v>
      </c>
      <c r="G32" s="1166">
        <v>5</v>
      </c>
      <c r="H32" s="1167">
        <v>6</v>
      </c>
      <c r="I32" s="1166">
        <v>7</v>
      </c>
      <c r="J32" s="1168">
        <v>8</v>
      </c>
      <c r="K32" s="1169">
        <v>9</v>
      </c>
      <c r="L32" s="1171">
        <v>10</v>
      </c>
      <c r="M32" s="1170">
        <v>11</v>
      </c>
      <c r="N32" s="1173">
        <v>12</v>
      </c>
      <c r="O32" s="591"/>
      <c r="P32" s="593"/>
      <c r="Q32" s="590"/>
      <c r="R32" s="587"/>
      <c r="S32" s="719"/>
      <c r="T32" s="463"/>
      <c r="U32" s="720"/>
      <c r="V32" s="1833"/>
      <c r="W32" s="721"/>
      <c r="X32" s="584"/>
      <c r="Y32" s="719"/>
      <c r="Z32" s="463"/>
      <c r="AA32" s="720"/>
      <c r="AB32" s="1833"/>
      <c r="AC32" s="721"/>
      <c r="AD32" s="584"/>
      <c r="AE32" s="584"/>
      <c r="AH32" s="1551"/>
      <c r="AI32" s="1551"/>
      <c r="AJ32" s="1550"/>
      <c r="AK32" s="1562"/>
      <c r="AL32" s="1560"/>
      <c r="AM32" s="1547"/>
    </row>
    <row r="33" spans="1:42" ht="35.1" customHeight="1">
      <c r="A33" s="879"/>
      <c r="B33" s="626" t="s">
        <v>234</v>
      </c>
      <c r="C33" s="678"/>
      <c r="D33" s="647"/>
      <c r="E33" s="624"/>
      <c r="F33" s="777"/>
      <c r="G33" s="661"/>
      <c r="H33" s="647"/>
      <c r="I33" s="624"/>
      <c r="J33" s="624"/>
      <c r="K33" s="624"/>
      <c r="L33" s="777"/>
      <c r="M33" s="659"/>
      <c r="N33" s="634"/>
      <c r="O33" s="591"/>
      <c r="P33" s="593"/>
      <c r="Q33" s="590"/>
      <c r="R33" s="587"/>
      <c r="S33" s="731"/>
      <c r="T33" s="732"/>
      <c r="U33" s="732"/>
      <c r="V33" s="732"/>
      <c r="W33" s="733"/>
      <c r="X33" s="584"/>
      <c r="Y33" s="731"/>
      <c r="Z33" s="732"/>
      <c r="AA33" s="732"/>
      <c r="AB33" s="732"/>
      <c r="AC33" s="733"/>
      <c r="AD33" s="584"/>
      <c r="AE33" s="584"/>
      <c r="AH33" s="1551"/>
      <c r="AI33" s="1551"/>
      <c r="AJ33" s="1550"/>
      <c r="AK33" s="1562"/>
      <c r="AL33" s="1560"/>
      <c r="AM33" s="1547"/>
    </row>
    <row r="34" spans="1:42" ht="30" customHeight="1">
      <c r="A34" s="879"/>
      <c r="B34" s="603" t="s">
        <v>175</v>
      </c>
      <c r="C34" s="705">
        <v>53</v>
      </c>
      <c r="D34" s="701"/>
      <c r="E34" s="702">
        <v>54</v>
      </c>
      <c r="F34" s="682">
        <f>SUM(D34:E34)</f>
        <v>54</v>
      </c>
      <c r="G34" s="706"/>
      <c r="H34" s="701">
        <v>53</v>
      </c>
      <c r="I34" s="702">
        <v>52</v>
      </c>
      <c r="J34" s="702">
        <v>67</v>
      </c>
      <c r="K34" s="702">
        <v>70</v>
      </c>
      <c r="L34" s="682">
        <f>SUM(H34:K34)</f>
        <v>242</v>
      </c>
      <c r="M34" s="684">
        <f>SUM(F34,L34)</f>
        <v>296</v>
      </c>
      <c r="N34" s="716">
        <v>2</v>
      </c>
      <c r="O34" s="591"/>
      <c r="P34" s="591"/>
      <c r="Q34" s="590"/>
      <c r="R34" s="587"/>
      <c r="S34" s="79" t="str">
        <f>IF(AH34=1,Intake_missing,IF(AI34=1,Only_intake_recorded,"OK"))</f>
        <v>OK</v>
      </c>
      <c r="T34" s="51" t="str">
        <f>IF(OR(AJ34=1,AK34=1),Intake_inconsistent,"OK")</f>
        <v>OK</v>
      </c>
      <c r="U34" s="734">
        <f>'Table 1 (Main)'!$O$32</f>
        <v>54</v>
      </c>
      <c r="V34" s="735">
        <f>F34-U34</f>
        <v>0</v>
      </c>
      <c r="W34" s="81" t="str">
        <f>IF(ABS(V34)&gt;0.1,"Does not equal figure in Table 1","OK")</f>
        <v>OK</v>
      </c>
      <c r="X34" s="584"/>
      <c r="Y34" s="79" t="str">
        <f>IF(AN34=1,Only_intake_recorded,"OK")</f>
        <v>OK</v>
      </c>
      <c r="Z34" s="51" t="str">
        <f>IF(OR(AO34=1,AP34=1),Intake_inconsistent,"OK")</f>
        <v>OK</v>
      </c>
      <c r="AA34" s="734">
        <f>'Table 1 (Main)'!$O$30</f>
        <v>242</v>
      </c>
      <c r="AB34" s="735">
        <f>L34-AA34</f>
        <v>0</v>
      </c>
      <c r="AC34" s="81" t="str">
        <f>IF(ABS(AB34)&gt;0.1,"Does not equal figure in Table 1","OK")</f>
        <v>OK</v>
      </c>
      <c r="AD34" s="584"/>
      <c r="AE34" s="584"/>
      <c r="AH34" s="1551">
        <f>IF(AND($C34=0,$F34&gt;0),1,0)</f>
        <v>0</v>
      </c>
      <c r="AI34" s="1551">
        <f>IF(AND($C34&gt;0,$F34=0),1,0)</f>
        <v>0</v>
      </c>
      <c r="AJ34" s="1551">
        <f>IF($C34&gt;$F34,1,0)</f>
        <v>0</v>
      </c>
      <c r="AK34" s="1551">
        <f>IF(AND($C34&gt;0,$C34=$F34),1,0)</f>
        <v>0</v>
      </c>
      <c r="AL34" s="1560"/>
      <c r="AM34" s="1551"/>
      <c r="AN34" s="1551">
        <f>IF(AND($G34&gt;0,$L34=0),1,0)</f>
        <v>0</v>
      </c>
      <c r="AO34" s="1551">
        <f>IF($G34&gt;$L34,1,0)</f>
        <v>0</v>
      </c>
      <c r="AP34" s="1551">
        <f>IF(AND($G34&gt;0,$G34=$L34),1,0)</f>
        <v>0</v>
      </c>
    </row>
    <row r="35" spans="1:42" ht="30" customHeight="1">
      <c r="A35" s="879"/>
      <c r="B35" s="603" t="s">
        <v>233</v>
      </c>
      <c r="C35" s="707">
        <v>14</v>
      </c>
      <c r="D35" s="708"/>
      <c r="E35" s="709">
        <v>14</v>
      </c>
      <c r="F35" s="681">
        <f t="shared" ref="F35" si="14">SUM(D35:E35)</f>
        <v>14</v>
      </c>
      <c r="G35" s="710"/>
      <c r="H35" s="711">
        <v>14</v>
      </c>
      <c r="I35" s="712">
        <v>15</v>
      </c>
      <c r="J35" s="712">
        <v>16</v>
      </c>
      <c r="K35" s="712">
        <v>9</v>
      </c>
      <c r="L35" s="681">
        <f t="shared" ref="L35:L37" si="15">SUM(H35:K35)</f>
        <v>54</v>
      </c>
      <c r="M35" s="685">
        <f t="shared" ref="M35:M37" si="16">SUM(F35,L35)</f>
        <v>68</v>
      </c>
      <c r="N35" s="717"/>
      <c r="O35" s="591"/>
      <c r="P35" s="591"/>
      <c r="Q35" s="590"/>
      <c r="R35" s="587"/>
      <c r="S35" s="79" t="str">
        <f>IF(AH35=1,Intake_missing,IF(AI35=1,Only_intake_recorded,"OK"))</f>
        <v>OK</v>
      </c>
      <c r="T35" s="51" t="str">
        <f>IF(OR(AJ35=1,AK35=1),Intake_inconsistent,"OK")</f>
        <v>Intake inconsistent with enrolments?</v>
      </c>
      <c r="U35" s="734">
        <f>'Table 1 (Main)'!$S$32</f>
        <v>14</v>
      </c>
      <c r="V35" s="735">
        <f>F35-U35</f>
        <v>0</v>
      </c>
      <c r="W35" s="81" t="str">
        <f>IF(ABS(V35)&gt;0.1,"Does not equal figure in Table 1","OK")</f>
        <v>OK</v>
      </c>
      <c r="X35" s="584"/>
      <c r="Y35" s="79" t="str">
        <f>IF(AN35=1,Only_intake_recorded,"OK")</f>
        <v>OK</v>
      </c>
      <c r="Z35" s="51" t="str">
        <f>IF(OR(AO35=1,AP35=1),Intake_inconsistent,"OK")</f>
        <v>OK</v>
      </c>
      <c r="AA35" s="734">
        <f>'Table 1 (Main)'!$S$30</f>
        <v>54</v>
      </c>
      <c r="AB35" s="735">
        <f>L35-AA35</f>
        <v>0</v>
      </c>
      <c r="AC35" s="81" t="str">
        <f>IF(ABS(AB35)&gt;0.1,"Does not equal figure in Table 1","OK")</f>
        <v>OK</v>
      </c>
      <c r="AD35" s="584"/>
      <c r="AE35" s="584"/>
      <c r="AH35" s="1551">
        <f>IF(AND($C35=0,$F35&gt;0),1,0)</f>
        <v>0</v>
      </c>
      <c r="AI35" s="1551">
        <f>IF(AND($C35&gt;0,$F35=0),1,0)</f>
        <v>0</v>
      </c>
      <c r="AJ35" s="1551">
        <f>IF($C35&gt;$F35,1,0)</f>
        <v>0</v>
      </c>
      <c r="AK35" s="1551">
        <f>IF(AND($C35&gt;0,$C35=$F35),1,0)</f>
        <v>1</v>
      </c>
      <c r="AL35" s="1560"/>
      <c r="AM35" s="1551"/>
      <c r="AN35" s="1551">
        <f>IF(AND($G35&gt;0,$L35=0),1,0)</f>
        <v>0</v>
      </c>
      <c r="AO35" s="1551">
        <f>IF($G35&gt;$L35,1,0)</f>
        <v>0</v>
      </c>
      <c r="AP35" s="1551">
        <f>IF(AND($G35&gt;0,$G35=$L35),1,0)</f>
        <v>0</v>
      </c>
    </row>
    <row r="36" spans="1:42" ht="30" customHeight="1">
      <c r="A36" s="879"/>
      <c r="B36" s="675" t="s">
        <v>235</v>
      </c>
      <c r="C36" s="679">
        <f>SUM(C34:C35)</f>
        <v>67</v>
      </c>
      <c r="D36" s="651">
        <f>SUM(D34:D35)</f>
        <v>0</v>
      </c>
      <c r="E36" s="629">
        <f t="shared" ref="E36" si="17">SUM(E34:E35)</f>
        <v>68</v>
      </c>
      <c r="F36" s="631">
        <f>SUM(F34:F35)</f>
        <v>68</v>
      </c>
      <c r="G36" s="662">
        <f>SUM(G34:G35)</f>
        <v>0</v>
      </c>
      <c r="H36" s="651">
        <f>SUM(H34:H35)</f>
        <v>67</v>
      </c>
      <c r="I36" s="629">
        <f t="shared" ref="I36" si="18">SUM(I34:I35)</f>
        <v>67</v>
      </c>
      <c r="J36" s="629">
        <f t="shared" ref="J36" si="19">SUM(J34:J35)</f>
        <v>83</v>
      </c>
      <c r="K36" s="629">
        <f t="shared" ref="K36" si="20">SUM(K34:K35)</f>
        <v>79</v>
      </c>
      <c r="L36" s="631">
        <f>SUM(L34:L35)</f>
        <v>296</v>
      </c>
      <c r="M36" s="686">
        <f>SUM(M34:M35)</f>
        <v>364</v>
      </c>
      <c r="N36" s="683">
        <f>SUM(N34:N35)</f>
        <v>2</v>
      </c>
      <c r="O36" s="591"/>
      <c r="P36" s="591"/>
      <c r="Q36" s="590"/>
      <c r="R36" s="587"/>
      <c r="S36" s="50"/>
      <c r="T36" s="739"/>
      <c r="U36" s="722"/>
      <c r="V36" s="723"/>
      <c r="W36" s="73"/>
      <c r="X36" s="584"/>
      <c r="Y36" s="50"/>
      <c r="Z36" s="739"/>
      <c r="AA36" s="722"/>
      <c r="AB36" s="723"/>
      <c r="AC36" s="73"/>
      <c r="AD36" s="584"/>
      <c r="AE36" s="584"/>
      <c r="AH36" s="1551"/>
      <c r="AI36" s="1551"/>
      <c r="AJ36" s="1551"/>
      <c r="AK36" s="1551"/>
      <c r="AL36" s="1560"/>
      <c r="AM36" s="1551"/>
      <c r="AN36" s="1551"/>
      <c r="AO36" s="1551"/>
      <c r="AP36" s="1551"/>
    </row>
    <row r="37" spans="1:42" ht="35.1" customHeight="1" thickBot="1">
      <c r="A37" s="879"/>
      <c r="B37" s="676" t="s">
        <v>176</v>
      </c>
      <c r="C37" s="713">
        <v>10</v>
      </c>
      <c r="D37" s="701"/>
      <c r="E37" s="702">
        <v>10</v>
      </c>
      <c r="F37" s="632">
        <f>SUM(D37:E37)</f>
        <v>10</v>
      </c>
      <c r="G37" s="689"/>
      <c r="H37" s="690">
        <v>11</v>
      </c>
      <c r="I37" s="691">
        <v>6</v>
      </c>
      <c r="J37" s="691">
        <v>8</v>
      </c>
      <c r="K37" s="691">
        <v>3</v>
      </c>
      <c r="L37" s="632">
        <f t="shared" si="15"/>
        <v>28</v>
      </c>
      <c r="M37" s="685">
        <f t="shared" si="16"/>
        <v>38</v>
      </c>
      <c r="N37" s="718"/>
      <c r="O37" s="591"/>
      <c r="P37" s="591"/>
      <c r="Q37" s="590"/>
      <c r="R37" s="587"/>
      <c r="S37" s="90" t="str">
        <f>IF(AH37=1,Intake_missing,IF(AI37=1,Only_intake_recorded,"OK"))</f>
        <v>OK</v>
      </c>
      <c r="T37" s="604" t="str">
        <f>IF(OR(AJ37=1,AK37=1),Intake_inconsistent,"OK")</f>
        <v>Intake inconsistent with enrolments?</v>
      </c>
      <c r="U37" s="728"/>
      <c r="V37" s="729"/>
      <c r="W37" s="730"/>
      <c r="X37" s="584"/>
      <c r="Y37" s="90" t="str">
        <f>IF(AN37=1,Only_intake_recorded,"OK")</f>
        <v>OK</v>
      </c>
      <c r="Z37" s="604" t="str">
        <f>IF(OR(AO37=1,AP37=1),Intake_inconsistent,"OK")</f>
        <v>OK</v>
      </c>
      <c r="AA37" s="728"/>
      <c r="AB37" s="729"/>
      <c r="AC37" s="730"/>
      <c r="AD37" s="584"/>
      <c r="AE37" s="584"/>
      <c r="AH37" s="1551">
        <f>IF(AND($C37=0,$F37&gt;0),1,0)</f>
        <v>0</v>
      </c>
      <c r="AI37" s="1551">
        <f>IF(AND($C37&gt;0,$F37=0),1,0)</f>
        <v>0</v>
      </c>
      <c r="AJ37" s="1551">
        <f>IF($C37&gt;$F37,1,0)</f>
        <v>0</v>
      </c>
      <c r="AK37" s="1551">
        <f>IF(AND($C37&gt;0,$C37=$F37),1,0)</f>
        <v>1</v>
      </c>
      <c r="AL37" s="1560"/>
      <c r="AM37" s="1551"/>
      <c r="AN37" s="1551">
        <f>IF(AND($G37&gt;0,$L37=0),1,0)</f>
        <v>0</v>
      </c>
      <c r="AO37" s="1551">
        <f>IF($G37&gt;$L37,1,0)</f>
        <v>0</v>
      </c>
      <c r="AP37" s="1551">
        <f>IF(AND($G37&gt;0,$G37=$L37),1,0)</f>
        <v>0</v>
      </c>
    </row>
    <row r="38" spans="1:42" ht="35.1" customHeight="1" thickBot="1">
      <c r="A38" s="879"/>
      <c r="B38" s="606" t="s">
        <v>2</v>
      </c>
      <c r="C38" s="714">
        <f>SUM(C36:C37)</f>
        <v>77</v>
      </c>
      <c r="D38" s="695">
        <f t="shared" ref="D38:M38" si="21">SUM(D36:D37)</f>
        <v>0</v>
      </c>
      <c r="E38" s="696">
        <f t="shared" si="21"/>
        <v>78</v>
      </c>
      <c r="F38" s="699">
        <f>SUM(F36:F37)</f>
        <v>78</v>
      </c>
      <c r="G38" s="688">
        <f t="shared" si="21"/>
        <v>0</v>
      </c>
      <c r="H38" s="695">
        <f t="shared" si="21"/>
        <v>78</v>
      </c>
      <c r="I38" s="696">
        <f t="shared" si="21"/>
        <v>73</v>
      </c>
      <c r="J38" s="696">
        <f t="shared" si="21"/>
        <v>91</v>
      </c>
      <c r="K38" s="696">
        <f t="shared" si="21"/>
        <v>82</v>
      </c>
      <c r="L38" s="699">
        <f>SUM(L36:L37)</f>
        <v>324</v>
      </c>
      <c r="M38" s="687">
        <f t="shared" si="21"/>
        <v>402</v>
      </c>
      <c r="N38" s="715">
        <f>SUM(N36:N37)</f>
        <v>2</v>
      </c>
      <c r="O38" s="591"/>
      <c r="P38" s="593"/>
      <c r="Q38" s="590"/>
      <c r="R38" s="587"/>
      <c r="S38" s="610"/>
      <c r="T38" s="610"/>
      <c r="U38" s="610"/>
      <c r="V38" s="611"/>
      <c r="W38" s="612"/>
      <c r="X38" s="584"/>
      <c r="Y38" s="584"/>
      <c r="Z38" s="584"/>
      <c r="AA38" s="584"/>
      <c r="AB38" s="584"/>
      <c r="AC38" s="584"/>
      <c r="AD38" s="584"/>
      <c r="AE38" s="584"/>
      <c r="AH38" s="1551"/>
      <c r="AI38" s="1551"/>
      <c r="AJ38" s="1550"/>
      <c r="AK38" s="1562"/>
      <c r="AL38" s="1560"/>
    </row>
    <row r="39" spans="1:42" s="1563" customFormat="1" ht="30" customHeight="1">
      <c r="A39" s="880"/>
      <c r="B39" s="613" t="s">
        <v>186</v>
      </c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4"/>
      <c r="R39" s="615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</row>
    <row r="40" spans="1:42" s="1563" customFormat="1" ht="15" customHeight="1">
      <c r="A40" s="882"/>
      <c r="B40" s="156"/>
      <c r="C40" s="156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8"/>
      <c r="R40" s="615"/>
      <c r="S40" s="616"/>
      <c r="T40" s="616"/>
      <c r="U40" s="616"/>
      <c r="V40" s="619"/>
      <c r="W40" s="619"/>
      <c r="X40" s="616"/>
      <c r="Y40" s="616"/>
      <c r="Z40" s="616"/>
      <c r="AA40" s="616"/>
      <c r="AB40" s="616"/>
      <c r="AC40" s="616"/>
      <c r="AD40" s="616"/>
      <c r="AE40" s="616"/>
    </row>
    <row r="41" spans="1:42" ht="12.75" customHeight="1">
      <c r="C41" s="1554"/>
      <c r="D41" s="1552"/>
      <c r="E41" s="1552"/>
      <c r="F41" s="1552"/>
      <c r="G41" s="1552"/>
      <c r="H41" s="1552"/>
      <c r="I41" s="1552"/>
      <c r="J41" s="1552"/>
      <c r="K41" s="1552"/>
      <c r="L41" s="1552"/>
      <c r="M41" s="1552"/>
      <c r="N41" s="1552"/>
      <c r="O41" s="1552"/>
      <c r="P41" s="1552"/>
      <c r="Q41" s="1552"/>
      <c r="R41" s="1552"/>
      <c r="S41" s="1552"/>
      <c r="T41" s="1552"/>
      <c r="U41" s="1552"/>
    </row>
  </sheetData>
  <sheetProtection password="E23E" sheet="1" objects="1" scenarios="1"/>
  <mergeCells count="41">
    <mergeCell ref="G28:L28"/>
    <mergeCell ref="N27:N29"/>
    <mergeCell ref="C27:M27"/>
    <mergeCell ref="B26:N26"/>
    <mergeCell ref="C28:F28"/>
    <mergeCell ref="C4:E4"/>
    <mergeCell ref="P9:P11"/>
    <mergeCell ref="C9:O9"/>
    <mergeCell ref="C10:I10"/>
    <mergeCell ref="J10:N10"/>
    <mergeCell ref="B8:P8"/>
    <mergeCell ref="U12:W12"/>
    <mergeCell ref="S11:W11"/>
    <mergeCell ref="S12:S13"/>
    <mergeCell ref="T12:T13"/>
    <mergeCell ref="Y11:AC11"/>
    <mergeCell ref="Y12:Y13"/>
    <mergeCell ref="Z12:Z13"/>
    <mergeCell ref="AA12:AC12"/>
    <mergeCell ref="AB13:AB14"/>
    <mergeCell ref="AM10:AP10"/>
    <mergeCell ref="AM11:AM13"/>
    <mergeCell ref="AN11:AN13"/>
    <mergeCell ref="AO11:AO13"/>
    <mergeCell ref="AP11:AP13"/>
    <mergeCell ref="AA30:AC30"/>
    <mergeCell ref="V31:V32"/>
    <mergeCell ref="AB31:AB32"/>
    <mergeCell ref="AH10:AK10"/>
    <mergeCell ref="AH11:AH13"/>
    <mergeCell ref="AI11:AI13"/>
    <mergeCell ref="AJ11:AJ13"/>
    <mergeCell ref="AK11:AK13"/>
    <mergeCell ref="S29:W29"/>
    <mergeCell ref="Y29:AC29"/>
    <mergeCell ref="S30:S31"/>
    <mergeCell ref="T30:T31"/>
    <mergeCell ref="U30:W30"/>
    <mergeCell ref="Y30:Y31"/>
    <mergeCell ref="Z30:Z31"/>
    <mergeCell ref="V13:V14"/>
  </mergeCells>
  <conditionalFormatting sqref="G34:K35 G37:K37">
    <cfRule type="expression" dxfId="107" priority="43">
      <formula>$F$4=4</formula>
    </cfRule>
    <cfRule type="expression" dxfId="106" priority="44">
      <formula>$F$4=3</formula>
    </cfRule>
    <cfRule type="expression" dxfId="105" priority="60" stopIfTrue="1">
      <formula>$F$4=0</formula>
    </cfRule>
  </conditionalFormatting>
  <conditionalFormatting sqref="C20:F22 C16:F17 C18:D18 P20:P22">
    <cfRule type="expression" dxfId="104" priority="53" stopIfTrue="1">
      <formula>$F$4=0</formula>
    </cfRule>
  </conditionalFormatting>
  <conditionalFormatting sqref="P16:P17">
    <cfRule type="expression" dxfId="103" priority="52" stopIfTrue="1">
      <formula>$F$4=0</formula>
    </cfRule>
  </conditionalFormatting>
  <conditionalFormatting sqref="B2">
    <cfRule type="expression" dxfId="102" priority="51" stopIfTrue="1">
      <formula>#REF!=0</formula>
    </cfRule>
  </conditionalFormatting>
  <conditionalFormatting sqref="A1:AE1">
    <cfRule type="expression" dxfId="101" priority="86" stopIfTrue="1">
      <formula>$F$4=0</formula>
    </cfRule>
  </conditionalFormatting>
  <conditionalFormatting sqref="P34:P37 C37:E37">
    <cfRule type="expression" dxfId="100" priority="49">
      <formula>$F$4&lt;&gt;1</formula>
    </cfRule>
  </conditionalFormatting>
  <conditionalFormatting sqref="G16:H17 G20:H22">
    <cfRule type="expression" dxfId="99" priority="48">
      <formula>$F$4&lt;&gt;4</formula>
    </cfRule>
  </conditionalFormatting>
  <conditionalFormatting sqref="J16:M17 J20:M22">
    <cfRule type="expression" dxfId="98" priority="46">
      <formula>$F$4=4</formula>
    </cfRule>
    <cfRule type="expression" dxfId="97" priority="47">
      <formula>$F$4=0</formula>
    </cfRule>
  </conditionalFormatting>
  <conditionalFormatting sqref="N34:N35 N37">
    <cfRule type="expression" dxfId="96" priority="40">
      <formula>$F$4=4</formula>
    </cfRule>
    <cfRule type="expression" dxfId="95" priority="41">
      <formula>$F$4=3</formula>
    </cfRule>
    <cfRule type="expression" dxfId="94" priority="45">
      <formula>$F$4=0</formula>
    </cfRule>
  </conditionalFormatting>
  <conditionalFormatting sqref="C34:E35">
    <cfRule type="expression" dxfId="93" priority="42">
      <formula>$F$4&lt;&gt;1</formula>
    </cfRule>
  </conditionalFormatting>
  <conditionalFormatting sqref="S16:W18 S34:W36 AB36:AC36 Y36:AA37 Y34:Z35 AC34:AC35 AC16:AC17 Y16:Z17">
    <cfRule type="expression" dxfId="92" priority="39" stopIfTrue="1">
      <formula>$F$4=0</formula>
    </cfRule>
  </conditionalFormatting>
  <conditionalFormatting sqref="S17:V18">
    <cfRule type="expression" dxfId="91" priority="37" stopIfTrue="1">
      <formula>$F$4=0</formula>
    </cfRule>
  </conditionalFormatting>
  <conditionalFormatting sqref="S20:U22">
    <cfRule type="expression" dxfId="90" priority="36" stopIfTrue="1">
      <formula>$F$4=0</formula>
    </cfRule>
  </conditionalFormatting>
  <conditionalFormatting sqref="S35:V36">
    <cfRule type="expression" dxfId="89" priority="35" stopIfTrue="1">
      <formula>$F$4=0</formula>
    </cfRule>
  </conditionalFormatting>
  <conditionalFormatting sqref="S37:U37">
    <cfRule type="expression" dxfId="88" priority="34" stopIfTrue="1">
      <formula>$F$4=0</formula>
    </cfRule>
  </conditionalFormatting>
  <conditionalFormatting sqref="Y18:AC18">
    <cfRule type="expression" dxfId="87" priority="33" stopIfTrue="1">
      <formula>$F$4=0</formula>
    </cfRule>
  </conditionalFormatting>
  <conditionalFormatting sqref="Y18:AA18">
    <cfRule type="expression" dxfId="86" priority="32" stopIfTrue="1">
      <formula>$F$4=0</formula>
    </cfRule>
  </conditionalFormatting>
  <conditionalFormatting sqref="AB18">
    <cfRule type="expression" dxfId="85" priority="30" stopIfTrue="1">
      <formula>$F$4=0</formula>
    </cfRule>
  </conditionalFormatting>
  <conditionalFormatting sqref="Y20:AA22">
    <cfRule type="expression" dxfId="84" priority="29" stopIfTrue="1">
      <formula>$F$4=0</formula>
    </cfRule>
  </conditionalFormatting>
  <conditionalFormatting sqref="AB36">
    <cfRule type="expression" dxfId="83" priority="27" stopIfTrue="1">
      <formula>$F$4=0</formula>
    </cfRule>
  </conditionalFormatting>
  <conditionalFormatting sqref="E18:I18">
    <cfRule type="expression" dxfId="82" priority="26" stopIfTrue="1">
      <formula>$F$4=0</formula>
    </cfRule>
  </conditionalFormatting>
  <conditionalFormatting sqref="J18:O18">
    <cfRule type="expression" dxfId="81" priority="25" stopIfTrue="1">
      <formula>$F$4=0</formula>
    </cfRule>
  </conditionalFormatting>
  <conditionalFormatting sqref="P18">
    <cfRule type="expression" dxfId="80" priority="24" stopIfTrue="1">
      <formula>$F$4=0</formula>
    </cfRule>
  </conditionalFormatting>
  <conditionalFormatting sqref="C36">
    <cfRule type="expression" dxfId="79" priority="23" stopIfTrue="1">
      <formula>$F$4=0</formula>
    </cfRule>
  </conditionalFormatting>
  <conditionalFormatting sqref="D36">
    <cfRule type="expression" dxfId="78" priority="22" stopIfTrue="1">
      <formula>$F$4=0</formula>
    </cfRule>
  </conditionalFormatting>
  <conditionalFormatting sqref="E36:F36">
    <cfRule type="expression" dxfId="77" priority="21" stopIfTrue="1">
      <formula>$F$4=0</formula>
    </cfRule>
  </conditionalFormatting>
  <conditionalFormatting sqref="G36">
    <cfRule type="expression" dxfId="76" priority="20" stopIfTrue="1">
      <formula>$F$4=0</formula>
    </cfRule>
  </conditionalFormatting>
  <conditionalFormatting sqref="H36">
    <cfRule type="expression" dxfId="75" priority="19" stopIfTrue="1">
      <formula>$F$4=0</formula>
    </cfRule>
  </conditionalFormatting>
  <conditionalFormatting sqref="I36">
    <cfRule type="expression" dxfId="74" priority="18" stopIfTrue="1">
      <formula>$F$4=0</formula>
    </cfRule>
  </conditionalFormatting>
  <conditionalFormatting sqref="J36:K36">
    <cfRule type="expression" dxfId="73" priority="17" stopIfTrue="1">
      <formula>$F$4=0</formula>
    </cfRule>
  </conditionalFormatting>
  <conditionalFormatting sqref="L36">
    <cfRule type="expression" dxfId="72" priority="16" stopIfTrue="1">
      <formula>$F$4=0</formula>
    </cfRule>
  </conditionalFormatting>
  <conditionalFormatting sqref="M36">
    <cfRule type="expression" dxfId="71" priority="15" stopIfTrue="1">
      <formula>$F$4=0</formula>
    </cfRule>
  </conditionalFormatting>
  <conditionalFormatting sqref="N36">
    <cfRule type="expression" dxfId="70" priority="14" stopIfTrue="1">
      <formula>$F$4=0</formula>
    </cfRule>
  </conditionalFormatting>
  <conditionalFormatting sqref="U35:V35">
    <cfRule type="expression" dxfId="69" priority="13" stopIfTrue="1">
      <formula>$F$4=0</formula>
    </cfRule>
  </conditionalFormatting>
  <conditionalFormatting sqref="AB34:AB35">
    <cfRule type="expression" dxfId="68" priority="12" stopIfTrue="1">
      <formula>$F$4=0</formula>
    </cfRule>
  </conditionalFormatting>
  <conditionalFormatting sqref="AB35">
    <cfRule type="expression" dxfId="67" priority="11" stopIfTrue="1">
      <formula>$F$4=0</formula>
    </cfRule>
  </conditionalFormatting>
  <conditionalFormatting sqref="AB35">
    <cfRule type="expression" dxfId="66" priority="10" stopIfTrue="1">
      <formula>$F$4=0</formula>
    </cfRule>
  </conditionalFormatting>
  <conditionalFormatting sqref="AB16:AB17">
    <cfRule type="expression" dxfId="65" priority="9" stopIfTrue="1">
      <formula>$F$4=0</formula>
    </cfRule>
  </conditionalFormatting>
  <conditionalFormatting sqref="AB17">
    <cfRule type="expression" dxfId="64" priority="8" stopIfTrue="1">
      <formula>$F$4=0</formula>
    </cfRule>
  </conditionalFormatting>
  <conditionalFormatting sqref="AA16:AA17">
    <cfRule type="expression" dxfId="63" priority="7" stopIfTrue="1">
      <formula>$F$4=0</formula>
    </cfRule>
  </conditionalFormatting>
  <conditionalFormatting sqref="AA17">
    <cfRule type="expression" dxfId="62" priority="6" stopIfTrue="1">
      <formula>$F$4=0</formula>
    </cfRule>
  </conditionalFormatting>
  <conditionalFormatting sqref="U35">
    <cfRule type="expression" dxfId="61" priority="5" stopIfTrue="1">
      <formula>$F$4=0</formula>
    </cfRule>
  </conditionalFormatting>
  <conditionalFormatting sqref="AA34:AA35">
    <cfRule type="expression" dxfId="60" priority="4" stopIfTrue="1">
      <formula>$F$4=0</formula>
    </cfRule>
  </conditionalFormatting>
  <conditionalFormatting sqref="AA35">
    <cfRule type="expression" dxfId="59" priority="3" stopIfTrue="1">
      <formula>$F$4=0</formula>
    </cfRule>
  </conditionalFormatting>
  <conditionalFormatting sqref="AA35">
    <cfRule type="expression" dxfId="58" priority="2" stopIfTrue="1">
      <formula>$F$4=0</formula>
    </cfRule>
  </conditionalFormatting>
  <conditionalFormatting sqref="AA35">
    <cfRule type="expression" dxfId="57" priority="1" stopIfTrue="1">
      <formula>$F$4=0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D25:P25 C34:C38 C16:C25 O18:P18 F24:P24 N18:N19 D38:M38 D16:H22 I18:I19 J16:L17 J19:L22 J18:M18 D23:E24 F23:N23 D34:E35 D37:E37 D36:N36">
      <formula1>C16&gt;=0</formula1>
    </dataValidation>
  </dataValidations>
  <printOptions horizontalCentered="1" verticalCentered="1" gridLines="1" gridLinesSet="0"/>
  <pageMargins left="0.19685039370078741" right="0.19685039370078741" top="0.15748031496062992" bottom="0.15748031496062992" header="0.23622047244094491" footer="0.27559055118110237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="80" zoomScaleNormal="80" workbookViewId="0"/>
  </sheetViews>
  <sheetFormatPr defaultColWidth="9.140625" defaultRowHeight="15"/>
  <cols>
    <col min="1" max="1" width="2.7109375" style="1547" customWidth="1"/>
    <col min="2" max="2" width="28.7109375" style="1547" customWidth="1"/>
    <col min="3" max="3" width="14.28515625" style="1547" customWidth="1"/>
    <col min="4" max="6" width="12.7109375" style="1547" customWidth="1"/>
    <col min="7" max="7" width="13.7109375" style="1547" customWidth="1"/>
    <col min="8" max="9" width="4.7109375" style="1547" customWidth="1"/>
    <col min="10" max="10" width="27.42578125" style="1547" customWidth="1"/>
    <col min="11" max="11" width="32.7109375" style="1547" customWidth="1"/>
    <col min="12" max="12" width="4.7109375" style="1547" customWidth="1"/>
    <col min="13" max="14" width="12.7109375" style="1547" customWidth="1"/>
    <col min="15" max="15" width="32.7109375" style="1547" customWidth="1"/>
    <col min="16" max="16" width="10.7109375" style="1547" customWidth="1"/>
    <col min="17" max="17" width="9.140625" style="1565"/>
    <col min="18" max="21" width="12.7109375" style="1547" hidden="1" customWidth="1"/>
    <col min="22" max="16384" width="9.140625" style="1547"/>
  </cols>
  <sheetData>
    <row r="1" spans="1:22" ht="39.950000000000003" customHeight="1">
      <c r="A1" s="418"/>
      <c r="B1" s="461" t="str">
        <f>IF(F4=0,"Your Institution Does Not Complete This Table","")</f>
        <v>Your Institution Does Not Complete This Table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22" ht="30" customHeight="1">
      <c r="A2" s="841"/>
      <c r="B2" s="743" t="s">
        <v>368</v>
      </c>
      <c r="C2" s="168"/>
      <c r="D2" s="168"/>
      <c r="E2" s="168"/>
      <c r="F2" s="168"/>
      <c r="G2" s="169"/>
      <c r="H2" s="170"/>
      <c r="I2" s="427"/>
      <c r="J2" s="12"/>
      <c r="K2" s="12"/>
      <c r="L2" s="427"/>
      <c r="M2" s="427"/>
      <c r="N2" s="427"/>
      <c r="O2" s="427"/>
      <c r="P2" s="427"/>
      <c r="R2" s="1816" t="s">
        <v>223</v>
      </c>
      <c r="S2" s="1816" t="s">
        <v>224</v>
      </c>
      <c r="T2" s="1816" t="s">
        <v>213</v>
      </c>
      <c r="U2" s="1816" t="s">
        <v>225</v>
      </c>
      <c r="V2" s="1556"/>
    </row>
    <row r="3" spans="1:22" ht="15" customHeight="1">
      <c r="A3" s="752"/>
      <c r="B3" s="135"/>
      <c r="C3" s="171"/>
      <c r="D3" s="172"/>
      <c r="E3" s="172"/>
      <c r="F3" s="172"/>
      <c r="G3" s="172"/>
      <c r="H3" s="173"/>
      <c r="I3" s="172"/>
      <c r="J3" s="12"/>
      <c r="K3" s="12"/>
      <c r="L3" s="172"/>
      <c r="M3" s="172"/>
      <c r="N3" s="172"/>
      <c r="O3" s="172"/>
      <c r="P3" s="172"/>
      <c r="R3" s="1816"/>
      <c r="S3" s="1816"/>
      <c r="T3" s="1816"/>
      <c r="U3" s="1816"/>
      <c r="V3" s="1566"/>
    </row>
    <row r="4" spans="1:22" ht="35.1" customHeight="1">
      <c r="A4" s="752"/>
      <c r="B4" s="878" t="s">
        <v>0</v>
      </c>
      <c r="C4" s="1884" t="str">
        <f>VLOOKUP('Background Data'!$C$2,Inst_Tables,2,FALSE)</f>
        <v>Glasgow, University of</v>
      </c>
      <c r="D4" s="1885"/>
      <c r="E4" s="1886"/>
      <c r="F4" s="420">
        <f>VLOOKUP('Background Data'!$C$2,Inst_Tables,8,FALSE)</f>
        <v>0</v>
      </c>
      <c r="G4" s="174"/>
      <c r="H4" s="175"/>
      <c r="I4" s="174"/>
      <c r="J4" s="12"/>
      <c r="K4" s="12"/>
      <c r="L4" s="174"/>
      <c r="M4" s="174"/>
      <c r="N4" s="174"/>
      <c r="O4" s="174"/>
      <c r="P4" s="174"/>
      <c r="R4" s="1816"/>
      <c r="S4" s="1816"/>
      <c r="T4" s="1816"/>
      <c r="U4" s="1816"/>
    </row>
    <row r="5" spans="1:22" ht="35.1" customHeight="1">
      <c r="A5" s="752"/>
      <c r="B5" s="886" t="s">
        <v>356</v>
      </c>
      <c r="C5" s="176"/>
      <c r="D5" s="176"/>
      <c r="E5" s="176"/>
      <c r="F5" s="176"/>
      <c r="G5" s="176"/>
      <c r="H5" s="177"/>
      <c r="I5" s="176"/>
      <c r="J5" s="12"/>
      <c r="K5" s="12"/>
      <c r="L5" s="176"/>
      <c r="M5" s="176"/>
      <c r="N5" s="176"/>
      <c r="O5" s="176"/>
      <c r="P5" s="176"/>
      <c r="R5" s="1816"/>
      <c r="S5" s="1816"/>
      <c r="T5" s="1816"/>
      <c r="U5" s="1816"/>
    </row>
    <row r="6" spans="1:22" ht="30" customHeight="1">
      <c r="A6" s="752"/>
      <c r="B6" s="19" t="s">
        <v>432</v>
      </c>
      <c r="C6" s="176"/>
      <c r="D6" s="176"/>
      <c r="E6" s="176"/>
      <c r="F6" s="176"/>
      <c r="G6" s="176"/>
      <c r="H6" s="177"/>
      <c r="I6" s="176"/>
      <c r="J6" s="12"/>
      <c r="K6" s="12"/>
      <c r="L6" s="176"/>
      <c r="M6" s="176"/>
      <c r="N6" s="176"/>
      <c r="O6" s="176"/>
      <c r="P6" s="176"/>
      <c r="R6" s="1816"/>
      <c r="S6" s="1816"/>
      <c r="T6" s="1816"/>
      <c r="U6" s="1816"/>
    </row>
    <row r="7" spans="1:22" ht="15" customHeight="1" thickBot="1">
      <c r="A7" s="752"/>
      <c r="B7" s="887"/>
      <c r="C7" s="176"/>
      <c r="D7" s="176"/>
      <c r="E7" s="176"/>
      <c r="F7" s="176"/>
      <c r="G7" s="176"/>
      <c r="H7" s="177"/>
      <c r="I7" s="176"/>
      <c r="J7" s="12"/>
      <c r="K7" s="12"/>
      <c r="L7" s="176"/>
      <c r="M7" s="176"/>
      <c r="N7" s="176"/>
      <c r="O7" s="176"/>
      <c r="P7" s="176"/>
      <c r="R7" s="1816"/>
      <c r="S7" s="1816"/>
      <c r="T7" s="1816"/>
      <c r="U7" s="1816"/>
    </row>
    <row r="8" spans="1:22" ht="39.950000000000003" customHeight="1">
      <c r="A8" s="752"/>
      <c r="B8" s="1069"/>
      <c r="C8" s="1887" t="s">
        <v>116</v>
      </c>
      <c r="D8" s="1853" t="s">
        <v>28</v>
      </c>
      <c r="E8" s="1853"/>
      <c r="F8" s="1853"/>
      <c r="G8" s="1854"/>
      <c r="H8" s="177"/>
      <c r="I8" s="176"/>
      <c r="J8" s="12"/>
      <c r="K8" s="12"/>
      <c r="L8" s="176"/>
      <c r="M8" s="176"/>
      <c r="N8" s="176"/>
      <c r="O8" s="176"/>
      <c r="P8" s="176"/>
      <c r="R8" s="1816"/>
      <c r="S8" s="1816"/>
      <c r="T8" s="1816"/>
      <c r="U8" s="1816"/>
    </row>
    <row r="9" spans="1:22" ht="32.25" customHeight="1">
      <c r="A9" s="752"/>
      <c r="B9" s="1070"/>
      <c r="C9" s="1888"/>
      <c r="D9" s="1073" t="s">
        <v>25</v>
      </c>
      <c r="E9" s="178" t="s">
        <v>14</v>
      </c>
      <c r="F9" s="178" t="s">
        <v>15</v>
      </c>
      <c r="G9" s="179" t="s">
        <v>2</v>
      </c>
      <c r="H9" s="177"/>
      <c r="I9" s="176"/>
      <c r="J9" s="12"/>
      <c r="K9" s="12"/>
      <c r="L9" s="176"/>
      <c r="M9" s="176"/>
      <c r="N9" s="176"/>
      <c r="O9" s="176"/>
      <c r="P9" s="176"/>
      <c r="R9" s="1552"/>
      <c r="S9" s="1552"/>
      <c r="T9" s="1552"/>
      <c r="U9" s="1567"/>
    </row>
    <row r="10" spans="1:22" ht="30" customHeight="1" thickBot="1">
      <c r="A10" s="752"/>
      <c r="B10" s="1042" t="s">
        <v>282</v>
      </c>
      <c r="C10" s="1076" t="s">
        <v>18</v>
      </c>
      <c r="D10" s="1074" t="s">
        <v>18</v>
      </c>
      <c r="E10" s="97" t="s">
        <v>18</v>
      </c>
      <c r="F10" s="97" t="s">
        <v>18</v>
      </c>
      <c r="G10" s="102" t="s">
        <v>18</v>
      </c>
      <c r="H10" s="180"/>
      <c r="I10" s="176"/>
      <c r="J10" s="183"/>
      <c r="K10" s="183"/>
      <c r="L10" s="176"/>
      <c r="M10" s="176"/>
      <c r="N10" s="176"/>
      <c r="O10" s="176"/>
      <c r="P10" s="176"/>
      <c r="R10" s="1550" t="s">
        <v>73</v>
      </c>
      <c r="S10" s="1550" t="s">
        <v>73</v>
      </c>
      <c r="T10" s="1550" t="s">
        <v>73</v>
      </c>
      <c r="U10" s="1550" t="s">
        <v>73</v>
      </c>
    </row>
    <row r="11" spans="1:22" ht="39.950000000000003" customHeight="1">
      <c r="A11" s="752"/>
      <c r="B11" s="1071"/>
      <c r="C11" s="1077" t="s">
        <v>31</v>
      </c>
      <c r="D11" s="1075" t="s">
        <v>31</v>
      </c>
      <c r="E11" s="404" t="s">
        <v>31</v>
      </c>
      <c r="F11" s="404" t="s">
        <v>31</v>
      </c>
      <c r="G11" s="412" t="s">
        <v>3</v>
      </c>
      <c r="H11" s="177"/>
      <c r="I11" s="176"/>
      <c r="J11" s="430" t="s">
        <v>199</v>
      </c>
      <c r="K11" s="431" t="s">
        <v>197</v>
      </c>
      <c r="L11" s="176"/>
      <c r="M11" s="176"/>
      <c r="N11" s="176"/>
      <c r="O11" s="176"/>
      <c r="P11" s="176"/>
    </row>
    <row r="12" spans="1:22" ht="24.95" customHeight="1" thickBot="1">
      <c r="A12" s="752"/>
      <c r="B12" s="1072"/>
      <c r="C12" s="1174">
        <v>1</v>
      </c>
      <c r="D12" s="1175">
        <v>2</v>
      </c>
      <c r="E12" s="1161">
        <v>3</v>
      </c>
      <c r="F12" s="1161">
        <v>4</v>
      </c>
      <c r="G12" s="1162">
        <v>5</v>
      </c>
      <c r="H12" s="180"/>
      <c r="I12" s="176"/>
      <c r="J12" s="432"/>
      <c r="K12" s="991"/>
      <c r="L12" s="176"/>
      <c r="M12" s="176"/>
      <c r="N12" s="176"/>
      <c r="O12" s="176"/>
      <c r="P12" s="176"/>
    </row>
    <row r="13" spans="1:22" ht="35.1" customHeight="1">
      <c r="A13" s="752"/>
      <c r="B13" s="1042" t="s">
        <v>11</v>
      </c>
      <c r="C13" s="1056"/>
      <c r="D13" s="405"/>
      <c r="E13" s="404"/>
      <c r="F13" s="404"/>
      <c r="G13" s="406"/>
      <c r="H13" s="180"/>
      <c r="I13" s="176"/>
      <c r="J13" s="433"/>
      <c r="K13" s="434"/>
      <c r="L13" s="176"/>
      <c r="M13" s="176"/>
      <c r="N13" s="176"/>
      <c r="O13" s="176"/>
      <c r="P13" s="176"/>
    </row>
    <row r="14" spans="1:22" ht="30" customHeight="1">
      <c r="A14" s="752"/>
      <c r="B14" s="1043" t="s">
        <v>35</v>
      </c>
      <c r="C14" s="1057"/>
      <c r="D14" s="176"/>
      <c r="E14" s="181"/>
      <c r="F14" s="181"/>
      <c r="G14" s="182"/>
      <c r="H14" s="180"/>
      <c r="I14" s="176"/>
      <c r="J14" s="435"/>
      <c r="K14" s="436"/>
      <c r="L14" s="176"/>
      <c r="M14" s="176"/>
      <c r="N14" s="176"/>
      <c r="O14" s="176"/>
      <c r="P14" s="176"/>
    </row>
    <row r="15" spans="1:22" ht="24.95" customHeight="1">
      <c r="A15" s="752"/>
      <c r="B15" s="1044" t="s">
        <v>36</v>
      </c>
      <c r="C15" s="1058"/>
      <c r="D15" s="74"/>
      <c r="E15" s="43"/>
      <c r="F15" s="43"/>
      <c r="G15" s="408">
        <f>SUM(D15:F15)</f>
        <v>0</v>
      </c>
      <c r="H15" s="185"/>
      <c r="I15" s="428"/>
      <c r="J15" s="79" t="str">
        <f>IF(R15=1,Intake_missing,IF(S15=1,Only_intake_recorded,"OK"))</f>
        <v>OK</v>
      </c>
      <c r="K15" s="437" t="str">
        <f>IF(OR(T15=1,U15=1),Intake_inconsistent,"OK")</f>
        <v>OK</v>
      </c>
      <c r="L15" s="428"/>
      <c r="M15" s="428"/>
      <c r="N15" s="428"/>
      <c r="O15" s="428"/>
      <c r="P15" s="428"/>
      <c r="R15" s="1550">
        <f>IF(AND(C15=0,G15&gt;0),1,0)</f>
        <v>0</v>
      </c>
      <c r="S15" s="1550">
        <f>IF(AND(C15&gt;0,G15=0),1,0)</f>
        <v>0</v>
      </c>
      <c r="T15" s="1550">
        <f>IF(C15&gt;G15,1,0)</f>
        <v>0</v>
      </c>
      <c r="U15" s="1550">
        <f>IF(AND(SUM(E15:F15)&gt;0,C15=G15),1,0)</f>
        <v>0</v>
      </c>
    </row>
    <row r="16" spans="1:22" ht="24.95" customHeight="1">
      <c r="A16" s="752"/>
      <c r="B16" s="1044" t="s">
        <v>37</v>
      </c>
      <c r="C16" s="1059"/>
      <c r="D16" s="74"/>
      <c r="E16" s="43"/>
      <c r="F16" s="43"/>
      <c r="G16" s="408">
        <f>SUM(D16:F16)</f>
        <v>0</v>
      </c>
      <c r="H16" s="185"/>
      <c r="I16" s="428"/>
      <c r="J16" s="79" t="str">
        <f>IF(R16=1,Intake_missing,IF(S16=1,Only_intake_recorded,"OK"))</f>
        <v>OK</v>
      </c>
      <c r="K16" s="437" t="str">
        <f>IF(OR(T16=1,U16=1),Intake_inconsistent,"OK")</f>
        <v>OK</v>
      </c>
      <c r="L16" s="428"/>
      <c r="M16" s="428"/>
      <c r="N16" s="428"/>
      <c r="O16" s="428"/>
      <c r="P16" s="428"/>
      <c r="R16" s="1550"/>
      <c r="S16" s="1550"/>
      <c r="T16" s="1550"/>
    </row>
    <row r="17" spans="1:21" ht="24.95" customHeight="1">
      <c r="A17" s="752"/>
      <c r="B17" s="1044" t="s">
        <v>38</v>
      </c>
      <c r="C17" s="1060"/>
      <c r="D17" s="424"/>
      <c r="E17" s="188"/>
      <c r="F17" s="188"/>
      <c r="G17" s="409">
        <f>SUM(D17:F17)</f>
        <v>0</v>
      </c>
      <c r="H17" s="185"/>
      <c r="I17" s="428"/>
      <c r="J17" s="79" t="str">
        <f>IF(R17=1,Intake_missing,IF(S17=1,Only_intake_recorded,"OK"))</f>
        <v>OK</v>
      </c>
      <c r="K17" s="437" t="str">
        <f>IF(OR(T17=1,U17=1),Intake_inconsistent,"OK")</f>
        <v>OK</v>
      </c>
      <c r="L17" s="428"/>
      <c r="M17" s="428"/>
      <c r="N17" s="428"/>
      <c r="O17" s="428"/>
      <c r="P17" s="428"/>
      <c r="R17" s="1550">
        <f>IF(AND(C17=0,G17&gt;0),1,0)</f>
        <v>0</v>
      </c>
      <c r="S17" s="1550">
        <f>IF(AND(C17&gt;0,G17=0),1,0)</f>
        <v>0</v>
      </c>
      <c r="T17" s="1550">
        <f>IF(C17&gt;G17,1,0)</f>
        <v>0</v>
      </c>
      <c r="U17" s="1550">
        <f>IF(AND(SUM(E17:F17)&gt;0,C17=G17),1,0)</f>
        <v>0</v>
      </c>
    </row>
    <row r="18" spans="1:21" ht="24.95" customHeight="1">
      <c r="A18" s="752"/>
      <c r="B18" s="1045" t="s">
        <v>2</v>
      </c>
      <c r="C18" s="1061">
        <f>SUM(C15:C17)</f>
        <v>0</v>
      </c>
      <c r="D18" s="1051">
        <f>SUM(D15:D17)</f>
        <v>0</v>
      </c>
      <c r="E18" s="189">
        <f>SUM(E15:E17)</f>
        <v>0</v>
      </c>
      <c r="F18" s="189">
        <f>SUM(F15:F17)</f>
        <v>0</v>
      </c>
      <c r="G18" s="408">
        <f>SUM(D18:F18)</f>
        <v>0</v>
      </c>
      <c r="H18" s="185"/>
      <c r="I18" s="428"/>
      <c r="J18" s="439"/>
      <c r="K18" s="440"/>
      <c r="L18" s="428"/>
      <c r="M18" s="428"/>
      <c r="N18" s="428"/>
      <c r="O18" s="428"/>
      <c r="P18" s="428"/>
      <c r="R18" s="1550"/>
      <c r="S18" s="1550"/>
      <c r="T18" s="1550"/>
      <c r="U18" s="1550"/>
    </row>
    <row r="19" spans="1:21" ht="30" customHeight="1">
      <c r="A19" s="752"/>
      <c r="B19" s="1043" t="s">
        <v>39</v>
      </c>
      <c r="C19" s="1062"/>
      <c r="D19" s="187"/>
      <c r="E19" s="186"/>
      <c r="F19" s="186"/>
      <c r="G19" s="411"/>
      <c r="H19" s="185"/>
      <c r="I19" s="428"/>
      <c r="J19" s="441"/>
      <c r="K19" s="438"/>
      <c r="L19" s="428"/>
      <c r="M19" s="428"/>
      <c r="N19" s="428"/>
      <c r="O19" s="428"/>
      <c r="P19" s="428"/>
    </row>
    <row r="20" spans="1:21" ht="24.95" customHeight="1">
      <c r="A20" s="752"/>
      <c r="B20" s="1044" t="s">
        <v>36</v>
      </c>
      <c r="C20" s="1058"/>
      <c r="D20" s="74"/>
      <c r="E20" s="43"/>
      <c r="F20" s="43"/>
      <c r="G20" s="408">
        <f>SUM(D20:F20)</f>
        <v>0</v>
      </c>
      <c r="H20" s="185"/>
      <c r="I20" s="428"/>
      <c r="J20" s="79" t="str">
        <f>IF(R20=1,Intake_missing,IF(S20=1,Only_intake_recorded,"OK"))</f>
        <v>OK</v>
      </c>
      <c r="K20" s="437" t="str">
        <f>IF(OR(T20=1,U20=1),Intake_inconsistent,"OK")</f>
        <v>OK</v>
      </c>
      <c r="L20" s="428"/>
      <c r="M20" s="428"/>
      <c r="N20" s="428"/>
      <c r="O20" s="428"/>
      <c r="P20" s="428"/>
      <c r="R20" s="1550">
        <f>IF(AND(C20=0,G20&gt;0),1,0)</f>
        <v>0</v>
      </c>
      <c r="S20" s="1550">
        <f>IF(AND(C20&gt;0,G20=0),1,0)</f>
        <v>0</v>
      </c>
      <c r="T20" s="1550">
        <f>IF(C20&gt;G20,1,0)</f>
        <v>0</v>
      </c>
      <c r="U20" s="1550">
        <f>IF(AND(SUM(E20:F20)&gt;0,C20=G20),1,0)</f>
        <v>0</v>
      </c>
    </row>
    <row r="21" spans="1:21" ht="24.95" customHeight="1">
      <c r="A21" s="752"/>
      <c r="B21" s="1044" t="s">
        <v>37</v>
      </c>
      <c r="C21" s="1059"/>
      <c r="D21" s="74"/>
      <c r="E21" s="43"/>
      <c r="F21" s="43"/>
      <c r="G21" s="408">
        <f>SUM(D21:F21)</f>
        <v>0</v>
      </c>
      <c r="H21" s="185"/>
      <c r="I21" s="428"/>
      <c r="J21" s="79" t="str">
        <f>IF(R21=1,Intake_missing,IF(S21=1,Only_intake_recorded,"OK"))</f>
        <v>OK</v>
      </c>
      <c r="K21" s="437" t="str">
        <f>IF(OR(T21=1,U21=1),Intake_inconsistent,"OK")</f>
        <v>OK</v>
      </c>
      <c r="L21" s="428"/>
      <c r="M21" s="428"/>
      <c r="N21" s="428"/>
      <c r="O21" s="428"/>
      <c r="P21" s="428"/>
    </row>
    <row r="22" spans="1:21" ht="24.95" customHeight="1">
      <c r="A22" s="752"/>
      <c r="B22" s="1044" t="s">
        <v>38</v>
      </c>
      <c r="C22" s="1058"/>
      <c r="D22" s="74"/>
      <c r="E22" s="43"/>
      <c r="F22" s="43"/>
      <c r="G22" s="408">
        <f>SUM(D22:F22)</f>
        <v>0</v>
      </c>
      <c r="H22" s="185"/>
      <c r="I22" s="428"/>
      <c r="J22" s="79" t="str">
        <f>IF(R22=1,Intake_missing,IF(S22=1,Only_intake_recorded,"OK"))</f>
        <v>OK</v>
      </c>
      <c r="K22" s="437" t="str">
        <f>IF(OR(T22=1,U22=1),Intake_inconsistent,"OK")</f>
        <v>OK</v>
      </c>
      <c r="L22" s="428"/>
      <c r="M22" s="428"/>
      <c r="N22" s="428"/>
      <c r="O22" s="428"/>
      <c r="P22" s="428"/>
      <c r="R22" s="1550">
        <f>IF(AND(C22=0,G22&gt;0),1,0)</f>
        <v>0</v>
      </c>
      <c r="S22" s="1550">
        <f>IF(AND(C22&gt;0,G22=0),1,0)</f>
        <v>0</v>
      </c>
      <c r="T22" s="1550">
        <f>IF(C22&gt;G22,1,0)</f>
        <v>0</v>
      </c>
      <c r="U22" s="1550">
        <f>IF(AND(SUM(E22:F22)&gt;0,C22=G22),1,0)</f>
        <v>0</v>
      </c>
    </row>
    <row r="23" spans="1:21" ht="24.95" customHeight="1">
      <c r="A23" s="752"/>
      <c r="B23" s="1045" t="s">
        <v>2</v>
      </c>
      <c r="C23" s="1061">
        <f>SUM(C20:C22)</f>
        <v>0</v>
      </c>
      <c r="D23" s="1051">
        <f>SUM(D20:D22)</f>
        <v>0</v>
      </c>
      <c r="E23" s="189">
        <f>SUM(E20:E22)</f>
        <v>0</v>
      </c>
      <c r="F23" s="189">
        <f>SUM(F20:F22)</f>
        <v>0</v>
      </c>
      <c r="G23" s="408">
        <f>SUM(D23:F23)</f>
        <v>0</v>
      </c>
      <c r="H23" s="185"/>
      <c r="I23" s="428"/>
      <c r="J23" s="439"/>
      <c r="K23" s="440"/>
      <c r="L23" s="428"/>
      <c r="M23" s="428"/>
      <c r="N23" s="428"/>
      <c r="O23" s="428"/>
      <c r="P23" s="428"/>
      <c r="R23" s="1550"/>
      <c r="S23" s="1550"/>
      <c r="T23" s="1550"/>
      <c r="U23" s="1550"/>
    </row>
    <row r="24" spans="1:21" ht="30" customHeight="1">
      <c r="A24" s="752"/>
      <c r="B24" s="1043" t="s">
        <v>40</v>
      </c>
      <c r="C24" s="1063"/>
      <c r="D24" s="187"/>
      <c r="E24" s="186"/>
      <c r="F24" s="192"/>
      <c r="G24" s="193"/>
      <c r="H24" s="185"/>
      <c r="I24" s="428"/>
      <c r="J24" s="442"/>
      <c r="K24" s="438"/>
      <c r="L24" s="428"/>
      <c r="M24" s="428"/>
      <c r="N24" s="428"/>
      <c r="O24" s="428"/>
      <c r="P24" s="428"/>
    </row>
    <row r="25" spans="1:21" ht="24.95" customHeight="1">
      <c r="A25" s="752"/>
      <c r="B25" s="1044" t="s">
        <v>36</v>
      </c>
      <c r="C25" s="1058"/>
      <c r="D25" s="74"/>
      <c r="E25" s="43"/>
      <c r="F25" s="43"/>
      <c r="G25" s="408">
        <f>SUM(D25:F25)</f>
        <v>0</v>
      </c>
      <c r="H25" s="185"/>
      <c r="I25" s="428"/>
      <c r="J25" s="79" t="str">
        <f>IF(R25=1,Intake_missing,IF(S25=1,Only_intake_recorded,"OK"))</f>
        <v>OK</v>
      </c>
      <c r="K25" s="437" t="str">
        <f>IF(OR(T25=1,U25=1),Intake_inconsistent,"OK")</f>
        <v>OK</v>
      </c>
      <c r="L25" s="428"/>
      <c r="M25" s="428"/>
      <c r="N25" s="428"/>
      <c r="O25" s="428"/>
      <c r="P25" s="428"/>
      <c r="R25" s="1550">
        <f>IF(AND(C25=0,G25&gt;0),1,0)</f>
        <v>0</v>
      </c>
      <c r="S25" s="1550">
        <f>IF(AND(C25&gt;0,G25=0),1,0)</f>
        <v>0</v>
      </c>
      <c r="T25" s="1550">
        <f>IF(C25&gt;G25,1,0)</f>
        <v>0</v>
      </c>
      <c r="U25" s="1550">
        <f>IF(AND(SUM(E25:F25)&gt;0,C25=G25),1,0)</f>
        <v>0</v>
      </c>
    </row>
    <row r="26" spans="1:21" ht="24.95" customHeight="1">
      <c r="A26" s="752"/>
      <c r="B26" s="1044" t="s">
        <v>37</v>
      </c>
      <c r="C26" s="1059"/>
      <c r="D26" s="74"/>
      <c r="E26" s="43"/>
      <c r="F26" s="43"/>
      <c r="G26" s="408">
        <f>SUM(D26:F26)</f>
        <v>0</v>
      </c>
      <c r="H26" s="185"/>
      <c r="I26" s="428"/>
      <c r="J26" s="79" t="str">
        <f>IF(R26=1,Intake_missing,IF(S26=1,Only_intake_recorded,"OK"))</f>
        <v>OK</v>
      </c>
      <c r="K26" s="437" t="str">
        <f>IF(OR(T26=1,U26=1),Intake_inconsistent,"OK")</f>
        <v>OK</v>
      </c>
      <c r="L26" s="428"/>
      <c r="M26" s="428"/>
      <c r="N26" s="428"/>
      <c r="O26" s="428"/>
      <c r="P26" s="428"/>
    </row>
    <row r="27" spans="1:21" ht="24.95" customHeight="1">
      <c r="A27" s="752"/>
      <c r="B27" s="1044" t="s">
        <v>38</v>
      </c>
      <c r="C27" s="1060"/>
      <c r="D27" s="424"/>
      <c r="E27" s="188"/>
      <c r="F27" s="188"/>
      <c r="G27" s="409">
        <f>SUM(D27:F27)</f>
        <v>0</v>
      </c>
      <c r="H27" s="185"/>
      <c r="I27" s="428"/>
      <c r="J27" s="79" t="str">
        <f>IF(R27=1,Intake_missing,IF(S27=1,Only_intake_recorded,"OK"))</f>
        <v>OK</v>
      </c>
      <c r="K27" s="437" t="str">
        <f>IF(OR(T27=1,U27=1),Intake_inconsistent,"OK")</f>
        <v>OK</v>
      </c>
      <c r="L27" s="428"/>
      <c r="M27" s="428"/>
      <c r="N27" s="428"/>
      <c r="O27" s="428"/>
      <c r="P27" s="428"/>
      <c r="R27" s="1550">
        <f>IF(AND(C27=0,G27&gt;0),1,0)</f>
        <v>0</v>
      </c>
      <c r="S27" s="1550">
        <f>IF(AND(C27&gt;0,G27=0),1,0)</f>
        <v>0</v>
      </c>
      <c r="T27" s="1550">
        <f>IF(C27&gt;G27,1,0)</f>
        <v>0</v>
      </c>
      <c r="U27" s="1550">
        <f>IF(AND(SUM(E27:F27)&gt;0,C27=G27),1,0)</f>
        <v>0</v>
      </c>
    </row>
    <row r="28" spans="1:21" ht="24.95" customHeight="1">
      <c r="A28" s="752"/>
      <c r="B28" s="1045" t="s">
        <v>2</v>
      </c>
      <c r="C28" s="1061">
        <f>SUM(C25:C27)</f>
        <v>0</v>
      </c>
      <c r="D28" s="1051">
        <f>SUM(D25:D27)</f>
        <v>0</v>
      </c>
      <c r="E28" s="189">
        <f>SUM(E25:E27)</f>
        <v>0</v>
      </c>
      <c r="F28" s="189">
        <f>SUM(F25:F27)</f>
        <v>0</v>
      </c>
      <c r="G28" s="408">
        <f>SUM(D28:F28)</f>
        <v>0</v>
      </c>
      <c r="H28" s="185"/>
      <c r="I28" s="428"/>
      <c r="J28" s="439"/>
      <c r="K28" s="440"/>
      <c r="L28" s="428"/>
      <c r="M28" s="428"/>
      <c r="N28" s="428"/>
      <c r="O28" s="428"/>
      <c r="P28" s="428"/>
      <c r="R28" s="1550"/>
      <c r="S28" s="1550"/>
      <c r="T28" s="1550"/>
      <c r="U28" s="1550"/>
    </row>
    <row r="29" spans="1:21" ht="30" customHeight="1">
      <c r="A29" s="752"/>
      <c r="B29" s="1043" t="s">
        <v>41</v>
      </c>
      <c r="C29" s="1064"/>
      <c r="D29" s="191"/>
      <c r="E29" s="190"/>
      <c r="F29" s="194"/>
      <c r="G29" s="195"/>
      <c r="H29" s="185"/>
      <c r="I29" s="428"/>
      <c r="J29" s="442"/>
      <c r="K29" s="438"/>
      <c r="L29" s="428"/>
      <c r="M29" s="428"/>
      <c r="N29" s="428"/>
      <c r="O29" s="428"/>
      <c r="P29" s="428"/>
    </row>
    <row r="30" spans="1:21" ht="24.95" customHeight="1">
      <c r="A30" s="752"/>
      <c r="B30" s="1044" t="s">
        <v>36</v>
      </c>
      <c r="C30" s="1058"/>
      <c r="D30" s="74"/>
      <c r="E30" s="43"/>
      <c r="F30" s="43"/>
      <c r="G30" s="408">
        <f>SUM(D30:F30)</f>
        <v>0</v>
      </c>
      <c r="H30" s="185"/>
      <c r="I30" s="428"/>
      <c r="J30" s="79" t="str">
        <f>IF(R30=1,Intake_missing,IF(S30=1,Only_intake_recorded,"OK"))</f>
        <v>OK</v>
      </c>
      <c r="K30" s="437" t="str">
        <f>IF(OR(T30=1,U30=1),Intake_inconsistent,"OK")</f>
        <v>OK</v>
      </c>
      <c r="L30" s="428"/>
      <c r="M30" s="428"/>
      <c r="N30" s="428"/>
      <c r="O30" s="428"/>
      <c r="P30" s="428"/>
      <c r="R30" s="1550">
        <f>IF(AND(C30=0,G30&gt;0),1,0)</f>
        <v>0</v>
      </c>
      <c r="S30" s="1550">
        <f>IF(AND(C30&gt;0,G30=0),1,0)</f>
        <v>0</v>
      </c>
      <c r="T30" s="1550">
        <f>IF(C30&gt;G30,1,0)</f>
        <v>0</v>
      </c>
      <c r="U30" s="1550">
        <f>IF(AND(SUM(E30:F30)&gt;0,C30=G30),1,0)</f>
        <v>0</v>
      </c>
    </row>
    <row r="31" spans="1:21" ht="24.95" customHeight="1">
      <c r="A31" s="752"/>
      <c r="B31" s="1044" t="s">
        <v>37</v>
      </c>
      <c r="C31" s="1059"/>
      <c r="D31" s="74"/>
      <c r="E31" s="43"/>
      <c r="F31" s="43"/>
      <c r="G31" s="408">
        <f>SUM(D31:F31)</f>
        <v>0</v>
      </c>
      <c r="H31" s="185"/>
      <c r="I31" s="428"/>
      <c r="J31" s="79" t="str">
        <f>IF(R31=1,Intake_missing,IF(S31=1,Only_intake_recorded,"OK"))</f>
        <v>OK</v>
      </c>
      <c r="K31" s="437" t="str">
        <f>IF(OR(T31=1,U31=1),Intake_inconsistent,"OK")</f>
        <v>OK</v>
      </c>
      <c r="L31" s="428"/>
      <c r="M31" s="428"/>
      <c r="N31" s="428"/>
      <c r="O31" s="428"/>
      <c r="P31" s="428"/>
    </row>
    <row r="32" spans="1:21" ht="24.95" customHeight="1">
      <c r="A32" s="752"/>
      <c r="B32" s="1044" t="s">
        <v>38</v>
      </c>
      <c r="C32" s="1060"/>
      <c r="D32" s="424"/>
      <c r="E32" s="188"/>
      <c r="F32" s="188"/>
      <c r="G32" s="409">
        <f>SUM(D32:F32)</f>
        <v>0</v>
      </c>
      <c r="H32" s="185"/>
      <c r="I32" s="428"/>
      <c r="J32" s="79" t="str">
        <f>IF(R32=1,Intake_missing,IF(S32=1,Only_intake_recorded,"OK"))</f>
        <v>OK</v>
      </c>
      <c r="K32" s="437" t="str">
        <f>IF(OR(T32=1,U32=1),Intake_inconsistent,"OK")</f>
        <v>OK</v>
      </c>
      <c r="L32" s="428"/>
      <c r="M32" s="428"/>
      <c r="N32" s="428"/>
      <c r="O32" s="428"/>
      <c r="P32" s="428"/>
      <c r="R32" s="1550">
        <f>IF(AND(C32=0,G32&gt;0),1,0)</f>
        <v>0</v>
      </c>
      <c r="S32" s="1550">
        <f>IF(AND(C32&gt;0,G32=0),1,0)</f>
        <v>0</v>
      </c>
      <c r="T32" s="1550">
        <f>IF(C32&gt;G32,1,0)</f>
        <v>0</v>
      </c>
      <c r="U32" s="1550">
        <f>IF(AND(SUM(E32:F32)&gt;0,C32=G32),1,0)</f>
        <v>0</v>
      </c>
    </row>
    <row r="33" spans="1:21" ht="24.95" customHeight="1">
      <c r="A33" s="752"/>
      <c r="B33" s="1045" t="s">
        <v>2</v>
      </c>
      <c r="C33" s="1061">
        <f>SUM(C30:C32)</f>
        <v>0</v>
      </c>
      <c r="D33" s="1051">
        <f>SUM(D30:D32)</f>
        <v>0</v>
      </c>
      <c r="E33" s="189">
        <f>SUM(E30:E32)</f>
        <v>0</v>
      </c>
      <c r="F33" s="189">
        <f>SUM(F30:F32)</f>
        <v>0</v>
      </c>
      <c r="G33" s="408">
        <f>SUM(D33:F33)</f>
        <v>0</v>
      </c>
      <c r="H33" s="185"/>
      <c r="I33" s="428"/>
      <c r="J33" s="439"/>
      <c r="K33" s="440"/>
      <c r="L33" s="428"/>
      <c r="M33" s="428"/>
      <c r="N33" s="428"/>
      <c r="O33" s="428"/>
      <c r="P33" s="428"/>
      <c r="R33" s="1550"/>
      <c r="S33" s="1550"/>
      <c r="T33" s="1550"/>
      <c r="U33" s="1550"/>
    </row>
    <row r="34" spans="1:21" ht="30" customHeight="1">
      <c r="A34" s="752"/>
      <c r="B34" s="1043" t="s">
        <v>42</v>
      </c>
      <c r="C34" s="1064"/>
      <c r="D34" s="191"/>
      <c r="E34" s="190"/>
      <c r="F34" s="194"/>
      <c r="G34" s="195"/>
      <c r="H34" s="185"/>
      <c r="I34" s="428"/>
      <c r="J34" s="443"/>
      <c r="K34" s="444"/>
      <c r="L34" s="428"/>
      <c r="M34" s="740" t="s">
        <v>238</v>
      </c>
      <c r="N34" s="428"/>
      <c r="O34" s="428"/>
      <c r="P34" s="428"/>
    </row>
    <row r="35" spans="1:21" ht="24.95" customHeight="1" thickBot="1">
      <c r="A35" s="752"/>
      <c r="B35" s="1044" t="s">
        <v>36</v>
      </c>
      <c r="C35" s="1058"/>
      <c r="D35" s="74"/>
      <c r="E35" s="43"/>
      <c r="F35" s="43"/>
      <c r="G35" s="408">
        <f>SUM(D35:F35)</f>
        <v>0</v>
      </c>
      <c r="H35" s="185"/>
      <c r="I35" s="428"/>
      <c r="J35" s="79" t="str">
        <f>IF(R35=1,Intake_missing,IF(S35=1,Only_intake_recorded,"OK"))</f>
        <v>OK</v>
      </c>
      <c r="K35" s="437" t="str">
        <f>IF(OR(T35=1,U35=1),Intake_inconsistent,"OK")</f>
        <v>OK</v>
      </c>
      <c r="L35" s="428"/>
      <c r="M35" s="428"/>
      <c r="N35" s="428"/>
      <c r="O35" s="428"/>
      <c r="P35" s="428"/>
      <c r="R35" s="1550">
        <f>IF(AND(C35=0,G35&gt;0),1,0)</f>
        <v>0</v>
      </c>
      <c r="S35" s="1550">
        <f>IF(AND(C35&gt;0,G35=0),1,0)</f>
        <v>0</v>
      </c>
      <c r="T35" s="1550">
        <f>IF(C35&gt;G35,1,0)</f>
        <v>0</v>
      </c>
      <c r="U35" s="1550">
        <f>IF(AND(SUM(E35:F35)&gt;0,C35=G35),1,0)</f>
        <v>0</v>
      </c>
    </row>
    <row r="36" spans="1:21" ht="24.95" customHeight="1">
      <c r="A36" s="752"/>
      <c r="B36" s="1044" t="s">
        <v>37</v>
      </c>
      <c r="C36" s="1059"/>
      <c r="D36" s="74"/>
      <c r="E36" s="43"/>
      <c r="F36" s="43"/>
      <c r="G36" s="408">
        <f>SUM(D36:F36)</f>
        <v>0</v>
      </c>
      <c r="H36" s="185"/>
      <c r="I36" s="185"/>
      <c r="J36" s="79" t="str">
        <f>IF(R36=1,Intake_missing,IF(S36=1,Only_intake_recorded,"OK"))</f>
        <v>OK</v>
      </c>
      <c r="K36" s="437" t="str">
        <f>IF(OR(T36=1,U36=1),Intake_inconsistent,"OK")</f>
        <v>OK</v>
      </c>
      <c r="L36" s="428"/>
      <c r="M36" s="1176" t="s">
        <v>61</v>
      </c>
      <c r="N36" s="1835" t="s">
        <v>210</v>
      </c>
      <c r="O36" s="450" t="s">
        <v>77</v>
      </c>
      <c r="P36" s="407"/>
      <c r="R36" s="1568"/>
      <c r="S36" s="1569"/>
    </row>
    <row r="37" spans="1:21" ht="24.95" customHeight="1">
      <c r="A37" s="752"/>
      <c r="B37" s="1045" t="s">
        <v>2</v>
      </c>
      <c r="C37" s="1061">
        <f>SUM(C35:C36)</f>
        <v>0</v>
      </c>
      <c r="D37" s="1051">
        <f>SUM(D35:D36)</f>
        <v>0</v>
      </c>
      <c r="E37" s="189">
        <f>SUM(E35:E36)</f>
        <v>0</v>
      </c>
      <c r="F37" s="189">
        <f>SUM(F35:F36)</f>
        <v>0</v>
      </c>
      <c r="G37" s="408">
        <f>SUM(D37:F37)</f>
        <v>0</v>
      </c>
      <c r="H37" s="185"/>
      <c r="I37" s="428"/>
      <c r="J37" s="433"/>
      <c r="K37" s="445"/>
      <c r="L37" s="428"/>
      <c r="M37" s="1177"/>
      <c r="N37" s="1883"/>
      <c r="O37" s="451"/>
      <c r="P37" s="407"/>
      <c r="R37" s="1568"/>
      <c r="S37" s="1569"/>
    </row>
    <row r="38" spans="1:21" ht="35.1" customHeight="1" thickBot="1">
      <c r="A38" s="752"/>
      <c r="B38" s="1046" t="s">
        <v>222</v>
      </c>
      <c r="C38" s="1065">
        <f>SUM(C18,C23,C28,C33,C37)</f>
        <v>0</v>
      </c>
      <c r="D38" s="1052">
        <f>SUM(D18,D23,D28,D33,D37)</f>
        <v>0</v>
      </c>
      <c r="E38" s="196">
        <f>SUM(E18,E23,E28,E33,E37)</f>
        <v>0</v>
      </c>
      <c r="F38" s="196">
        <f>SUM(F18,F23,F28,F33,F37)</f>
        <v>0</v>
      </c>
      <c r="G38" s="410">
        <f>SUM(D38:F38)</f>
        <v>0</v>
      </c>
      <c r="H38" s="197"/>
      <c r="I38" s="551"/>
      <c r="J38" s="446"/>
      <c r="K38" s="447"/>
      <c r="L38" s="551"/>
      <c r="M38" s="1178">
        <f>'Table 1 (Main)'!$O$39</f>
        <v>0</v>
      </c>
      <c r="N38" s="570">
        <f>G38-M38</f>
        <v>0</v>
      </c>
      <c r="O38" s="452" t="str">
        <f>IF(ABS(N38)&gt;0.1,"Does not equal figure in Table 1","OK")</f>
        <v>OK</v>
      </c>
      <c r="P38" s="429"/>
      <c r="R38" s="1560"/>
      <c r="S38" s="1569"/>
    </row>
    <row r="39" spans="1:21" ht="35.1" customHeight="1">
      <c r="A39" s="752"/>
      <c r="B39" s="1047" t="s">
        <v>9</v>
      </c>
      <c r="C39" s="1066"/>
      <c r="D39" s="1053"/>
      <c r="E39" s="416"/>
      <c r="F39" s="416"/>
      <c r="G39" s="415"/>
      <c r="H39" s="173"/>
      <c r="I39" s="172"/>
      <c r="J39" s="435"/>
      <c r="K39" s="448"/>
      <c r="L39" s="172"/>
      <c r="M39" s="172"/>
      <c r="N39" s="172"/>
      <c r="O39" s="172"/>
      <c r="P39" s="172"/>
    </row>
    <row r="40" spans="1:21" ht="24.95" customHeight="1">
      <c r="A40" s="752"/>
      <c r="B40" s="1048" t="s">
        <v>35</v>
      </c>
      <c r="C40" s="1058"/>
      <c r="D40" s="792"/>
      <c r="E40" s="43"/>
      <c r="F40" s="43"/>
      <c r="G40" s="184">
        <f t="shared" ref="G40:G44" si="0">SUM(D40:F40)</f>
        <v>0</v>
      </c>
      <c r="H40" s="425"/>
      <c r="I40" s="413"/>
      <c r="J40" s="79" t="str">
        <f>IF(R40=1,Intake_missing,IF(S40=1,Only_intake_recorded,"OK"))</f>
        <v>OK</v>
      </c>
      <c r="K40" s="437" t="str">
        <f>IF(OR(T40=1,U40=1),Intake_inconsistent,"OK")</f>
        <v>OK</v>
      </c>
      <c r="L40" s="413"/>
      <c r="M40" s="413"/>
      <c r="N40" s="413"/>
      <c r="O40" s="413"/>
      <c r="P40" s="413"/>
      <c r="R40" s="1550">
        <f>IF(AND(C40=0,G40&gt;0),1,0)</f>
        <v>0</v>
      </c>
      <c r="S40" s="1550">
        <f>IF(AND(C40&gt;0,G40=0),1,0)</f>
        <v>0</v>
      </c>
      <c r="T40" s="1550">
        <f>IF(C40&gt;G40,1,0)</f>
        <v>0</v>
      </c>
      <c r="U40" s="1550">
        <f>IF(AND(SUM(E40:F40)&gt;0,C40=G40),1,0)</f>
        <v>0</v>
      </c>
    </row>
    <row r="41" spans="1:21" ht="24.95" customHeight="1">
      <c r="A41" s="752"/>
      <c r="B41" s="1048" t="s">
        <v>39</v>
      </c>
      <c r="C41" s="1058"/>
      <c r="D41" s="792"/>
      <c r="E41" s="43"/>
      <c r="F41" s="43"/>
      <c r="G41" s="184">
        <f t="shared" si="0"/>
        <v>0</v>
      </c>
      <c r="H41" s="425"/>
      <c r="I41" s="413"/>
      <c r="J41" s="79" t="str">
        <f>IF(R41=1,Intake_missing,IF(S41=1,Only_intake_recorded,"OK"))</f>
        <v>OK</v>
      </c>
      <c r="K41" s="437" t="str">
        <f>IF(OR(T41=1,U41=1),Intake_inconsistent,"OK")</f>
        <v>OK</v>
      </c>
      <c r="L41" s="413"/>
      <c r="M41" s="740" t="s">
        <v>238</v>
      </c>
      <c r="N41" s="413"/>
      <c r="O41" s="413"/>
      <c r="P41" s="413"/>
      <c r="R41" s="1550">
        <f>IF(AND(C41=0,G41&gt;0),1,0)</f>
        <v>0</v>
      </c>
      <c r="S41" s="1550">
        <f>IF(AND(C41&gt;0,G41=0),1,0)</f>
        <v>0</v>
      </c>
      <c r="T41" s="1550">
        <f>IF(C41&gt;G41,1,0)</f>
        <v>0</v>
      </c>
      <c r="U41" s="1550">
        <f>IF(AND(SUM(E41:F41)&gt;0,C41=G41),1,0)</f>
        <v>0</v>
      </c>
    </row>
    <row r="42" spans="1:21" ht="24.95" customHeight="1" thickBot="1">
      <c r="A42" s="752"/>
      <c r="B42" s="1048" t="s">
        <v>40</v>
      </c>
      <c r="C42" s="1058"/>
      <c r="D42" s="792"/>
      <c r="E42" s="43"/>
      <c r="F42" s="43"/>
      <c r="G42" s="184">
        <f t="shared" si="0"/>
        <v>0</v>
      </c>
      <c r="H42" s="425"/>
      <c r="I42" s="413"/>
      <c r="J42" s="79" t="str">
        <f>IF(R42=1,Intake_missing,IF(S42=1,Only_intake_recorded,"OK"))</f>
        <v>OK</v>
      </c>
      <c r="K42" s="437" t="str">
        <f>IF(OR(T42=1,U42=1),Intake_inconsistent,"OK")</f>
        <v>OK</v>
      </c>
      <c r="L42" s="413"/>
      <c r="M42" s="413"/>
      <c r="N42" s="413"/>
      <c r="O42" s="413"/>
      <c r="P42" s="413"/>
      <c r="R42" s="1550">
        <f>IF(AND(C42=0,G42&gt;0),1,0)</f>
        <v>0</v>
      </c>
      <c r="S42" s="1550">
        <f>IF(AND(C42&gt;0,G42=0),1,0)</f>
        <v>0</v>
      </c>
      <c r="T42" s="1550">
        <f>IF(C42&gt;G42,1,0)</f>
        <v>0</v>
      </c>
      <c r="U42" s="1550">
        <f>IF(AND(SUM(E42:F42)&gt;0,C42=G42),1,0)</f>
        <v>0</v>
      </c>
    </row>
    <row r="43" spans="1:21" ht="24.95" customHeight="1">
      <c r="A43" s="752"/>
      <c r="B43" s="1048" t="s">
        <v>41</v>
      </c>
      <c r="C43" s="1058"/>
      <c r="D43" s="792"/>
      <c r="E43" s="43"/>
      <c r="F43" s="43"/>
      <c r="G43" s="184">
        <f t="shared" si="0"/>
        <v>0</v>
      </c>
      <c r="H43" s="425"/>
      <c r="I43" s="552"/>
      <c r="J43" s="79" t="str">
        <f>IF(R43=1,Intake_missing,IF(S43=1,Only_intake_recorded,"OK"))</f>
        <v>OK</v>
      </c>
      <c r="K43" s="437" t="str">
        <f>IF(OR(T43=1,U43=1),Intake_inconsistent,"OK")</f>
        <v>OK</v>
      </c>
      <c r="L43" s="413"/>
      <c r="M43" s="1176" t="s">
        <v>61</v>
      </c>
      <c r="N43" s="1835" t="s">
        <v>210</v>
      </c>
      <c r="O43" s="450" t="s">
        <v>77</v>
      </c>
      <c r="P43" s="413"/>
      <c r="R43" s="1550">
        <f>IF(AND(C43=0,G43&gt;0),1,0)</f>
        <v>0</v>
      </c>
      <c r="S43" s="1550">
        <f>IF(AND(C43&gt;0,G43=0),1,0)</f>
        <v>0</v>
      </c>
      <c r="T43" s="1550">
        <f>IF(C43&gt;G43,1,0)</f>
        <v>0</v>
      </c>
      <c r="U43" s="1550">
        <f>IF(AND(SUM(E43:F43)&gt;0,C43=G43),1,0)</f>
        <v>0</v>
      </c>
    </row>
    <row r="44" spans="1:21" ht="24.95" customHeight="1" thickBot="1">
      <c r="A44" s="752"/>
      <c r="B44" s="1048" t="s">
        <v>42</v>
      </c>
      <c r="C44" s="1058"/>
      <c r="D44" s="792"/>
      <c r="E44" s="43"/>
      <c r="F44" s="43"/>
      <c r="G44" s="184">
        <f t="shared" si="0"/>
        <v>0</v>
      </c>
      <c r="H44" s="426"/>
      <c r="I44" s="414"/>
      <c r="J44" s="90" t="str">
        <f>IF(R44=1,Intake_missing,IF(S44=1,Only_intake_recorded,"OK"))</f>
        <v>OK</v>
      </c>
      <c r="K44" s="449" t="str">
        <f>IF(OR(T44=1,U44=1),Intake_inconsistent,"OK")</f>
        <v>OK</v>
      </c>
      <c r="L44" s="414"/>
      <c r="M44" s="1177"/>
      <c r="N44" s="1883"/>
      <c r="O44" s="451"/>
      <c r="P44" s="414"/>
      <c r="R44" s="1550">
        <f>IF(AND(C44=0,G44&gt;0),1,0)</f>
        <v>0</v>
      </c>
      <c r="S44" s="1550">
        <f>IF(AND(C44&gt;0,G44=0),1,0)</f>
        <v>0</v>
      </c>
      <c r="T44" s="1550">
        <f>IF(C44&gt;G44,1,0)</f>
        <v>0</v>
      </c>
      <c r="U44" s="1550">
        <f>IF(AND(SUM(E44:F44)&gt;0,C44=G44),1,0)</f>
        <v>0</v>
      </c>
    </row>
    <row r="45" spans="1:21" ht="35.1" customHeight="1" thickBot="1">
      <c r="A45" s="752"/>
      <c r="B45" s="1049" t="s">
        <v>2</v>
      </c>
      <c r="C45" s="1067">
        <f>SUM(C40:C44)</f>
        <v>0</v>
      </c>
      <c r="D45" s="1054">
        <f>SUM(D40:D44)</f>
        <v>0</v>
      </c>
      <c r="E45" s="417">
        <f>SUM(E40:E44)</f>
        <v>0</v>
      </c>
      <c r="F45" s="417">
        <f>SUM(F40:F44)</f>
        <v>0</v>
      </c>
      <c r="G45" s="421">
        <f>SUM(D45:F45)</f>
        <v>0</v>
      </c>
      <c r="H45" s="426"/>
      <c r="I45" s="414"/>
      <c r="J45" s="418"/>
      <c r="K45" s="418"/>
      <c r="L45" s="414"/>
      <c r="M45" s="1178">
        <f>'Table 1 (Main)'!$O$16</f>
        <v>0</v>
      </c>
      <c r="N45" s="570">
        <f>G45-M45</f>
        <v>0</v>
      </c>
      <c r="O45" s="452" t="str">
        <f>IF(ABS(N45)&gt;0.1,"Does not equal figure in Table 1","OK")</f>
        <v>OK</v>
      </c>
      <c r="P45" s="414"/>
      <c r="R45" s="1553"/>
      <c r="S45" s="1553"/>
      <c r="T45" s="1553"/>
      <c r="U45" s="1553"/>
    </row>
    <row r="46" spans="1:21" ht="35.1" customHeight="1" thickBot="1">
      <c r="A46" s="752"/>
      <c r="B46" s="1050" t="s">
        <v>2</v>
      </c>
      <c r="C46" s="1068">
        <f>SUM(C38,C45)</f>
        <v>0</v>
      </c>
      <c r="D46" s="1055">
        <f>SUM(D38,D45)</f>
        <v>0</v>
      </c>
      <c r="E46" s="422">
        <f t="shared" ref="E46:F46" si="1">SUM(E38,E45)</f>
        <v>0</v>
      </c>
      <c r="F46" s="422">
        <f t="shared" si="1"/>
        <v>0</v>
      </c>
      <c r="G46" s="423">
        <f>SUM(D46:F46)</f>
        <v>0</v>
      </c>
      <c r="H46" s="426"/>
      <c r="I46" s="414"/>
      <c r="J46" s="418"/>
      <c r="K46" s="418"/>
      <c r="L46" s="414"/>
      <c r="M46" s="414"/>
      <c r="N46" s="414"/>
      <c r="O46" s="414"/>
      <c r="P46" s="414"/>
    </row>
    <row r="47" spans="1:21">
      <c r="A47" s="776"/>
      <c r="B47" s="773"/>
      <c r="C47" s="773"/>
      <c r="D47" s="773"/>
      <c r="E47" s="773"/>
      <c r="F47" s="773"/>
      <c r="G47" s="773"/>
      <c r="H47" s="775"/>
      <c r="I47" s="418"/>
      <c r="J47" s="418"/>
      <c r="K47" s="418"/>
      <c r="L47" s="418"/>
      <c r="M47" s="418"/>
      <c r="N47" s="418"/>
      <c r="O47" s="418"/>
      <c r="P47" s="418"/>
    </row>
  </sheetData>
  <sheetProtection password="E23E" sheet="1" objects="1" scenarios="1"/>
  <mergeCells count="9">
    <mergeCell ref="U2:U8"/>
    <mergeCell ref="C4:E4"/>
    <mergeCell ref="C8:C9"/>
    <mergeCell ref="D8:G8"/>
    <mergeCell ref="N36:N37"/>
    <mergeCell ref="N43:N44"/>
    <mergeCell ref="R2:R8"/>
    <mergeCell ref="S2:S8"/>
    <mergeCell ref="T2:T8"/>
  </mergeCells>
  <conditionalFormatting sqref="J15:K15 J38:K38 J17:K18 J20:K20 J22:K23 J25:K25 J27:K28 J30:K30 J32:K33 J35:K35">
    <cfRule type="expression" dxfId="56" priority="12" stopIfTrue="1">
      <formula>$F$4=0</formula>
    </cfRule>
  </conditionalFormatting>
  <conditionalFormatting sqref="B2">
    <cfRule type="expression" dxfId="55" priority="11" stopIfTrue="1">
      <formula>#REF!=0</formula>
    </cfRule>
  </conditionalFormatting>
  <conditionalFormatting sqref="A1:P1">
    <cfRule type="expression" dxfId="54" priority="13" stopIfTrue="1">
      <formula>$F$4=0</formula>
    </cfRule>
  </conditionalFormatting>
  <conditionalFormatting sqref="C15:F17 C20:F22 C25:F27 C30:F32 C35:F36 C40:F44">
    <cfRule type="expression" dxfId="53" priority="14" stopIfTrue="1">
      <formula>$F$4=0</formula>
    </cfRule>
  </conditionalFormatting>
  <conditionalFormatting sqref="D45:G45">
    <cfRule type="expression" dxfId="52" priority="9" stopIfTrue="1">
      <formula>#REF!=0</formula>
    </cfRule>
  </conditionalFormatting>
  <conditionalFormatting sqref="C45">
    <cfRule type="expression" dxfId="51" priority="10" stopIfTrue="1">
      <formula>#REF!=0</formula>
    </cfRule>
  </conditionalFormatting>
  <conditionalFormatting sqref="J40:K44">
    <cfRule type="expression" dxfId="50" priority="8" stopIfTrue="1">
      <formula>$F$4=0</formula>
    </cfRule>
  </conditionalFormatting>
  <conditionalFormatting sqref="J16:K16">
    <cfRule type="expression" dxfId="49" priority="7" stopIfTrue="1">
      <formula>$F$4=0</formula>
    </cfRule>
  </conditionalFormatting>
  <conditionalFormatting sqref="J21:K21">
    <cfRule type="expression" dxfId="48" priority="6" stopIfTrue="1">
      <formula>$F$4=0</formula>
    </cfRule>
  </conditionalFormatting>
  <conditionalFormatting sqref="J26:K26">
    <cfRule type="expression" dxfId="47" priority="5" stopIfTrue="1">
      <formula>$F$4=0</formula>
    </cfRule>
  </conditionalFormatting>
  <conditionalFormatting sqref="J31:K31">
    <cfRule type="expression" dxfId="46" priority="4" stopIfTrue="1">
      <formula>$F$4=0</formula>
    </cfRule>
  </conditionalFormatting>
  <conditionalFormatting sqref="J36:K36">
    <cfRule type="expression" dxfId="45" priority="3" stopIfTrue="1">
      <formula>$F$4=0</formula>
    </cfRule>
  </conditionalFormatting>
  <conditionalFormatting sqref="M38:O38">
    <cfRule type="expression" dxfId="44" priority="2">
      <formula>$F$4=0</formula>
    </cfRule>
  </conditionalFormatting>
  <conditionalFormatting sqref="M45:O45">
    <cfRule type="expression" dxfId="43" priority="1">
      <formula>$F$4=0</formula>
    </cfRule>
  </conditionalFormatting>
  <dataValidations count="2">
    <dataValidation type="custom" allowBlank="1" showErrorMessage="1" errorTitle="Number less than 0" error="You are trying to enter a number which is less than 0, please re-enter a valid number." sqref="D25:F28 C35 C45:G45 C17:C18 D15:F18 C22:C23 D20:F23 C27:C28 C32:C33 C15 C20 C25 C30 D30:F33 D35:F37 C37">
      <formula1>C15&gt;=0</formula1>
    </dataValidation>
    <dataValidation type="custom" errorStyle="warning" operator="greaterThanOrEqual" allowBlank="1" showInputMessage="1" showErrorMessage="1" error="Entry must be positive or zero, and no more than one decimal place" sqref="G35:G44 G25:G28 G15:G18 G20:G23 G30:G33">
      <formula1>AND(NOT(G15&lt;0),INT(G15*10)=G15*10)</formula1>
    </dataValidation>
  </dataValidations>
  <pageMargins left="0.19685039370078741" right="0.19685039370078741" top="0.19685039370078741" bottom="0.19685039370078741" header="0" footer="0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7" zoomScale="80" zoomScaleNormal="80" workbookViewId="0">
      <selection activeCell="C18" sqref="C18"/>
    </sheetView>
  </sheetViews>
  <sheetFormatPr defaultColWidth="9.140625" defaultRowHeight="15"/>
  <cols>
    <col min="1" max="1" width="2.7109375" style="1547" customWidth="1"/>
    <col min="2" max="2" width="24.7109375" style="1547" customWidth="1"/>
    <col min="3" max="3" width="16.7109375" style="1547" customWidth="1"/>
    <col min="4" max="4" width="22.28515625" style="1547" customWidth="1"/>
    <col min="5" max="5" width="25.42578125" style="1547" customWidth="1"/>
    <col min="6" max="6" width="4.7109375" style="1547" customWidth="1"/>
    <col min="7" max="8" width="12.7109375" style="1547" customWidth="1"/>
    <col min="9" max="9" width="20.7109375" style="1547" customWidth="1"/>
    <col min="10" max="10" width="40.42578125" style="1547" customWidth="1"/>
    <col min="11" max="11" width="4.7109375" style="1547" customWidth="1"/>
    <col min="12" max="16384" width="9.140625" style="1547"/>
  </cols>
  <sheetData>
    <row r="1" spans="1:11" ht="39.950000000000003" customHeight="1">
      <c r="A1" s="418"/>
      <c r="B1" s="461" t="str">
        <f>IF(E4=0,"Your Institution Does Not Complete This Table","")</f>
        <v/>
      </c>
      <c r="C1" s="7"/>
      <c r="D1" s="7"/>
      <c r="E1" s="7"/>
      <c r="F1" s="418"/>
      <c r="G1" s="418"/>
      <c r="H1" s="418"/>
      <c r="I1" s="418"/>
      <c r="J1" s="418"/>
      <c r="K1" s="418"/>
    </row>
    <row r="2" spans="1:11" ht="30" customHeight="1">
      <c r="A2" s="841"/>
      <c r="B2" s="743" t="s">
        <v>370</v>
      </c>
      <c r="C2" s="9"/>
      <c r="D2" s="9"/>
      <c r="E2" s="145"/>
      <c r="F2" s="418"/>
      <c r="G2" s="418"/>
      <c r="H2" s="418"/>
      <c r="I2" s="418"/>
      <c r="J2" s="418"/>
      <c r="K2" s="418"/>
    </row>
    <row r="3" spans="1:11" ht="15" customHeight="1">
      <c r="A3" s="752"/>
      <c r="B3" s="135"/>
      <c r="C3" s="146"/>
      <c r="D3" s="146"/>
      <c r="E3" s="147"/>
      <c r="F3" s="418"/>
      <c r="G3" s="418"/>
      <c r="H3" s="418"/>
      <c r="I3" s="418"/>
      <c r="J3" s="418"/>
      <c r="K3" s="418"/>
    </row>
    <row r="4" spans="1:11" ht="35.1" customHeight="1">
      <c r="A4" s="752"/>
      <c r="B4" s="865" t="s">
        <v>0</v>
      </c>
      <c r="C4" s="1849" t="str">
        <f>VLOOKUP('Background Data'!$C$2,Inst_Tables,2,FALSE)</f>
        <v>Glasgow, University of</v>
      </c>
      <c r="D4" s="1846"/>
      <c r="E4" s="547">
        <f>VLOOKUP('Background Data'!$C$2,Inst_Tables,9,FALSE)</f>
        <v>1</v>
      </c>
      <c r="F4" s="418"/>
      <c r="G4" s="418"/>
      <c r="H4" s="418"/>
      <c r="I4" s="418"/>
      <c r="J4" s="418"/>
      <c r="K4" s="418"/>
    </row>
    <row r="5" spans="1:11" ht="35.1" customHeight="1">
      <c r="A5" s="752"/>
      <c r="B5" s="886" t="s">
        <v>357</v>
      </c>
      <c r="C5" s="150"/>
      <c r="D5" s="151"/>
      <c r="E5" s="152"/>
      <c r="F5" s="418"/>
      <c r="G5" s="418"/>
      <c r="H5" s="418"/>
      <c r="I5" s="418"/>
      <c r="J5" s="418"/>
      <c r="K5" s="418"/>
    </row>
    <row r="6" spans="1:11" ht="30" customHeight="1">
      <c r="A6" s="752"/>
      <c r="B6" s="856" t="s">
        <v>433</v>
      </c>
      <c r="C6" s="150"/>
      <c r="D6" s="151"/>
      <c r="E6" s="152"/>
      <c r="F6" s="418"/>
      <c r="G6" s="418"/>
      <c r="H6" s="418"/>
      <c r="I6" s="418"/>
      <c r="J6" s="418"/>
      <c r="K6" s="418"/>
    </row>
    <row r="7" spans="1:11" ht="15" customHeight="1" thickBot="1">
      <c r="A7" s="752"/>
      <c r="B7" s="856"/>
      <c r="C7" s="150"/>
      <c r="D7" s="151"/>
      <c r="E7" s="152"/>
      <c r="F7" s="418"/>
      <c r="G7" s="418"/>
      <c r="H7" s="418"/>
      <c r="I7" s="418"/>
      <c r="J7" s="418"/>
      <c r="K7" s="418"/>
    </row>
    <row r="8" spans="1:11" ht="75" customHeight="1">
      <c r="A8" s="752"/>
      <c r="B8" s="867"/>
      <c r="C8" s="1078" t="s">
        <v>371</v>
      </c>
      <c r="D8" s="32"/>
      <c r="E8" s="39"/>
      <c r="F8" s="418"/>
      <c r="G8" s="418"/>
      <c r="H8" s="418"/>
      <c r="I8" s="418"/>
      <c r="J8" s="418"/>
      <c r="K8" s="418"/>
    </row>
    <row r="9" spans="1:11" ht="30" customHeight="1">
      <c r="A9" s="752"/>
      <c r="B9" s="1889" t="s">
        <v>239</v>
      </c>
      <c r="C9" s="163" t="s">
        <v>18</v>
      </c>
      <c r="D9" s="32"/>
      <c r="E9" s="39"/>
      <c r="F9" s="418"/>
      <c r="G9" s="418"/>
      <c r="H9" s="418"/>
      <c r="I9" s="418"/>
      <c r="J9" s="418"/>
      <c r="K9" s="418"/>
    </row>
    <row r="10" spans="1:11" ht="30" customHeight="1">
      <c r="A10" s="752"/>
      <c r="B10" s="1889"/>
      <c r="C10" s="163" t="s">
        <v>31</v>
      </c>
      <c r="D10" s="32"/>
      <c r="E10" s="39"/>
      <c r="F10" s="418"/>
      <c r="G10" s="418"/>
      <c r="H10" s="418"/>
      <c r="I10" s="418"/>
      <c r="J10" s="418"/>
      <c r="K10" s="418"/>
    </row>
    <row r="11" spans="1:11" ht="30" customHeight="1" thickBot="1">
      <c r="A11" s="752"/>
      <c r="B11" s="871"/>
      <c r="C11" s="1164">
        <v>1</v>
      </c>
      <c r="D11" s="32"/>
      <c r="E11" s="39"/>
      <c r="F11" s="418"/>
      <c r="G11" s="418"/>
      <c r="H11" s="418"/>
      <c r="I11" s="418"/>
      <c r="J11" s="418"/>
      <c r="K11" s="418"/>
    </row>
    <row r="12" spans="1:11" ht="35.1" customHeight="1" thickBot="1">
      <c r="A12" s="752"/>
      <c r="B12" s="860" t="s">
        <v>230</v>
      </c>
      <c r="C12" s="1079">
        <v>49</v>
      </c>
      <c r="D12" s="64"/>
      <c r="E12" s="23"/>
      <c r="F12" s="418"/>
      <c r="G12" s="1896" t="s">
        <v>232</v>
      </c>
      <c r="H12" s="1897"/>
      <c r="I12" s="1898"/>
      <c r="J12" s="549" t="str">
        <f>IF(AND($C$18&gt;0,$C$12=0),Intake_missing,IF(AND($C$12&gt;0,$C$18=0),Only_intake_recorded,"OK"))</f>
        <v>OK</v>
      </c>
      <c r="K12" s="418"/>
    </row>
    <row r="13" spans="1:11" ht="35.1" customHeight="1" thickBot="1">
      <c r="A13" s="752"/>
      <c r="B13" s="1041" t="s">
        <v>231</v>
      </c>
      <c r="C13" s="1080"/>
      <c r="D13" s="64"/>
      <c r="E13" s="23"/>
      <c r="F13" s="418"/>
      <c r="G13" s="1899" t="s">
        <v>201</v>
      </c>
      <c r="H13" s="1900"/>
      <c r="I13" s="1901"/>
      <c r="J13" s="550" t="str">
        <f>IF(OR($C$12&gt;$C$18,AND($C$12=$C$18,SUM($C$15:$C$17)&gt;0)),Intake_inconsistent,"OK")</f>
        <v>OK</v>
      </c>
      <c r="K13" s="418"/>
    </row>
    <row r="14" spans="1:11" ht="35.1" customHeight="1">
      <c r="A14" s="752"/>
      <c r="B14" s="863">
        <v>1</v>
      </c>
      <c r="C14" s="1081">
        <v>49</v>
      </c>
      <c r="D14" s="64"/>
      <c r="E14" s="23"/>
      <c r="F14" s="418"/>
      <c r="G14" s="418"/>
      <c r="H14" s="418"/>
      <c r="I14" s="418"/>
      <c r="J14" s="418"/>
      <c r="K14" s="418"/>
    </row>
    <row r="15" spans="1:11" ht="35.1" customHeight="1" thickBot="1">
      <c r="A15" s="752"/>
      <c r="B15" s="863">
        <v>2</v>
      </c>
      <c r="C15" s="1081">
        <v>39.167000000000002</v>
      </c>
      <c r="D15" s="64"/>
      <c r="E15" s="23"/>
      <c r="F15" s="418"/>
      <c r="G15" s="418"/>
      <c r="H15" s="418"/>
      <c r="I15" s="418"/>
      <c r="J15" s="418"/>
      <c r="K15" s="418"/>
    </row>
    <row r="16" spans="1:11" ht="35.1" customHeight="1">
      <c r="A16" s="752"/>
      <c r="B16" s="863">
        <v>3</v>
      </c>
      <c r="C16" s="1081">
        <v>44</v>
      </c>
      <c r="D16" s="64"/>
      <c r="E16" s="23"/>
      <c r="F16" s="418"/>
      <c r="G16" s="1186" t="s">
        <v>61</v>
      </c>
      <c r="H16" s="1894" t="s">
        <v>210</v>
      </c>
      <c r="I16" s="1890" t="s">
        <v>77</v>
      </c>
      <c r="J16" s="1891"/>
      <c r="K16" s="418"/>
    </row>
    <row r="17" spans="1:11" ht="35.1" customHeight="1">
      <c r="A17" s="752"/>
      <c r="B17" s="863">
        <v>4</v>
      </c>
      <c r="C17" s="1081">
        <v>24</v>
      </c>
      <c r="D17" s="64"/>
      <c r="E17" s="23"/>
      <c r="F17" s="418"/>
      <c r="G17" s="1187"/>
      <c r="H17" s="1895"/>
      <c r="I17" s="1189"/>
      <c r="J17" s="1191"/>
      <c r="K17" s="418"/>
    </row>
    <row r="18" spans="1:11" ht="35.1" customHeight="1" thickBot="1">
      <c r="A18" s="752"/>
      <c r="B18" s="888" t="s">
        <v>2</v>
      </c>
      <c r="C18" s="1082">
        <f>SUM(C14:C17)</f>
        <v>156.167</v>
      </c>
      <c r="D18" s="64"/>
      <c r="E18" s="23"/>
      <c r="F18" s="418"/>
      <c r="G18" s="1188">
        <f>'Table 1 (Main)'!$O$40</f>
        <v>130.16999999999999</v>
      </c>
      <c r="H18" s="1190">
        <f>C18-G18</f>
        <v>25.997000000000014</v>
      </c>
      <c r="I18" s="1892" t="str">
        <f>IF(AND(G18&gt;0,H18&lt;0.1),"Total should be higher than Table 1?","OK")</f>
        <v>OK</v>
      </c>
      <c r="J18" s="1893"/>
      <c r="K18" s="418"/>
    </row>
    <row r="19" spans="1:11" ht="24.95" customHeight="1">
      <c r="A19" s="776"/>
      <c r="B19" s="156"/>
      <c r="C19" s="156"/>
      <c r="D19" s="157"/>
      <c r="E19" s="158"/>
      <c r="F19" s="418"/>
      <c r="G19" s="418"/>
      <c r="H19" s="418"/>
      <c r="I19" s="418"/>
      <c r="J19" s="418"/>
      <c r="K19" s="418"/>
    </row>
    <row r="20" spans="1:11" s="1553" customFormat="1" ht="12" customHeight="1">
      <c r="B20" s="1554"/>
    </row>
    <row r="21" spans="1:11">
      <c r="D21" s="1552"/>
      <c r="E21" s="1552"/>
      <c r="F21" s="1552"/>
      <c r="G21" s="1552"/>
      <c r="H21" s="1552"/>
    </row>
    <row r="22" spans="1:11">
      <c r="D22" s="1552"/>
      <c r="E22" s="1552"/>
      <c r="F22" s="1552"/>
    </row>
    <row r="23" spans="1:11">
      <c r="D23" s="1552"/>
      <c r="E23" s="1552"/>
      <c r="F23" s="1552"/>
    </row>
    <row r="28" spans="1:11" ht="12.75" customHeight="1"/>
  </sheetData>
  <sheetProtection password="E23E" sheet="1" objects="1" scenarios="1"/>
  <mergeCells count="7">
    <mergeCell ref="B9:B10"/>
    <mergeCell ref="I16:J16"/>
    <mergeCell ref="I18:J18"/>
    <mergeCell ref="C4:D4"/>
    <mergeCell ref="H16:H17"/>
    <mergeCell ref="G12:I12"/>
    <mergeCell ref="G13:I13"/>
  </mergeCells>
  <conditionalFormatting sqref="B2">
    <cfRule type="expression" dxfId="42" priority="6" stopIfTrue="1">
      <formula>#REF!=0</formula>
    </cfRule>
  </conditionalFormatting>
  <conditionalFormatting sqref="A1:K1">
    <cfRule type="expression" dxfId="41" priority="94" stopIfTrue="1">
      <formula>$E$4=0</formula>
    </cfRule>
  </conditionalFormatting>
  <conditionalFormatting sqref="C12 C14:C17">
    <cfRule type="expression" dxfId="40" priority="96" stopIfTrue="1">
      <formula>$E$4=0</formula>
    </cfRule>
  </conditionalFormatting>
  <conditionalFormatting sqref="J12:J13">
    <cfRule type="expression" dxfId="39" priority="2">
      <formula>$E$4=0</formula>
    </cfRule>
  </conditionalFormatting>
  <conditionalFormatting sqref="G18:J18">
    <cfRule type="expression" dxfId="38" priority="1">
      <formula>$E$4=0</formula>
    </cfRule>
  </conditionalFormatting>
  <dataValidations count="1">
    <dataValidation type="custom" allowBlank="1" showErrorMessage="1" errorTitle="Number less than 0" error="You are trying to enter a number which is less than 0, please re-enter a valid number." sqref="C12:C17">
      <formula1>C12&gt;=0</formula1>
    </dataValidation>
  </dataValidations>
  <printOptions horizontalCentered="1" verticalCentered="1"/>
  <pageMargins left="0.19685039370078741" right="0.19685039370078741" top="0.19685039370078741" bottom="0.23622047244094491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30</vt:i4>
      </vt:variant>
    </vt:vector>
  </HeadingPairs>
  <TitlesOfParts>
    <vt:vector size="48" baseType="lpstr">
      <vt:lpstr>Contents</vt:lpstr>
      <vt:lpstr>Table 1 (Main)</vt:lpstr>
      <vt:lpstr>Table 2a (ITE)</vt:lpstr>
      <vt:lpstr>Table 2b (TQFE)</vt:lpstr>
      <vt:lpstr>Table 2c (Catholic ITE)</vt:lpstr>
      <vt:lpstr>Table 2d PGDE Subjects</vt:lpstr>
      <vt:lpstr>Table 3 (Med, Dent)</vt:lpstr>
      <vt:lpstr>Table 4a (Cont Nre and Mid)</vt:lpstr>
      <vt:lpstr>Table 4b (Cont 4 Year Nurse)</vt:lpstr>
      <vt:lpstr>Table 5a (Widen Access FPs)</vt:lpstr>
      <vt:lpstr>Table 5b (Artic FPs)</vt:lpstr>
      <vt:lpstr>Table 5c (UG Skills FPs)</vt:lpstr>
      <vt:lpstr>Table 5d (TPG FPs)</vt:lpstr>
      <vt:lpstr>Table 5e (Other Add FPs)</vt:lpstr>
      <vt:lpstr>Table 5f (ESF DSW) </vt:lpstr>
      <vt:lpstr>Table 6 (Care Experienced)</vt:lpstr>
      <vt:lpstr>Monitoring</vt:lpstr>
      <vt:lpstr>Background Data</vt:lpstr>
      <vt:lpstr>Consol_Tol_FTE</vt:lpstr>
      <vt:lpstr>Consol_Tol_Per</vt:lpstr>
      <vt:lpstr>Controlled_Tol</vt:lpstr>
      <vt:lpstr>Early_Stats_Last_Year</vt:lpstr>
      <vt:lpstr>Final_Figures_Last_Year</vt:lpstr>
      <vt:lpstr>Inst_FPs</vt:lpstr>
      <vt:lpstr>Inst_Tables</vt:lpstr>
      <vt:lpstr>Intake_inconsistent</vt:lpstr>
      <vt:lpstr>Intake_missing</vt:lpstr>
      <vt:lpstr>'Table 2a (ITE)'!Intake_too_high</vt:lpstr>
      <vt:lpstr>Non_controlled_Tol</vt:lpstr>
      <vt:lpstr>Only_intake_recorded</vt:lpstr>
      <vt:lpstr>Contents!Print_Area</vt:lpstr>
      <vt:lpstr>Monitoring!Print_Area</vt:lpstr>
      <vt:lpstr>'Table 1 (Main)'!Print_Area</vt:lpstr>
      <vt:lpstr>'Table 2a (ITE)'!Print_Area</vt:lpstr>
      <vt:lpstr>'Table 2b (TQFE)'!Print_Area</vt:lpstr>
      <vt:lpstr>'Table 2c (Catholic ITE)'!Print_Area</vt:lpstr>
      <vt:lpstr>'Table 2d PGDE Subjects'!Print_Area</vt:lpstr>
      <vt:lpstr>'Table 3 (Med, Dent)'!Print_Area</vt:lpstr>
      <vt:lpstr>'Table 4a (Cont Nre and Mid)'!Print_Area</vt:lpstr>
      <vt:lpstr>'Table 4b (Cont 4 Year Nurse)'!Print_Area</vt:lpstr>
      <vt:lpstr>'Table 5a (Widen Access FPs)'!Print_Area</vt:lpstr>
      <vt:lpstr>'Table 5b (Artic FPs)'!Print_Area</vt:lpstr>
      <vt:lpstr>'Table 5c (UG Skills FPs)'!Print_Area</vt:lpstr>
      <vt:lpstr>'Table 5e (Other Add FPs)'!Print_Area</vt:lpstr>
      <vt:lpstr>'Table 5f (ESF DSW) '!Print_Area</vt:lpstr>
      <vt:lpstr>'Table 6 (Care Experienced)'!Print_Area</vt:lpstr>
      <vt:lpstr>Monitoring!Print_Titles</vt:lpstr>
      <vt:lpstr>'Table 1 (Main)'!Print_Titles</vt:lpstr>
    </vt:vector>
  </TitlesOfParts>
  <Company>Scottish Funding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McCleary</dc:creator>
  <cp:lastModifiedBy>Jacqueline Jack</cp:lastModifiedBy>
  <cp:lastPrinted>2016-12-07T15:25:57Z</cp:lastPrinted>
  <dcterms:created xsi:type="dcterms:W3CDTF">2004-10-22T07:49:06Z</dcterms:created>
  <dcterms:modified xsi:type="dcterms:W3CDTF">2017-02-14T15:32:38Z</dcterms:modified>
</cp:coreProperties>
</file>