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23E" lockStructure="1"/>
  <bookViews>
    <workbookView xWindow="1500" yWindow="4170" windowWidth="15480" windowHeight="5940" activeTab="1"/>
  </bookViews>
  <sheets>
    <sheet name="Contents" sheetId="47" r:id="rId1"/>
    <sheet name="Table 1 (Main)" sheetId="34" r:id="rId2"/>
    <sheet name="Table 2a (ITE)" sheetId="39" r:id="rId3"/>
    <sheet name="Table 2b (TQFE)" sheetId="13" r:id="rId4"/>
    <sheet name="Table 2c (Catholic ITE)" sheetId="14" r:id="rId5"/>
    <sheet name="Table 2d PGDE Subjects" sheetId="46" r:id="rId6"/>
    <sheet name="Table 3 (Med, Dent)" sheetId="15" r:id="rId7"/>
    <sheet name="Table 4a (Cont Nre and Mid)" sheetId="48" r:id="rId8"/>
    <sheet name="Table 4b (Cont 4 Year Nurse)" sheetId="41" r:id="rId9"/>
    <sheet name="Table 5a (Widen Access FPs)" sheetId="40" r:id="rId10"/>
    <sheet name="Table 5b (Artic FPs)" sheetId="42" r:id="rId11"/>
    <sheet name="Table 5c (UG Skills FPs)" sheetId="43" r:id="rId12"/>
    <sheet name="Table 5d (TPG FPs)" sheetId="44" r:id="rId13"/>
    <sheet name="Table 5e (Other Add FPs)" sheetId="45" r:id="rId14"/>
    <sheet name="Monitoring" sheetId="36" r:id="rId15"/>
    <sheet name="Background" sheetId="38" state="hidden" r:id="rId16"/>
  </sheets>
  <definedNames>
    <definedName name="Consol_Tol_FTE">Monitoring!$C$64</definedName>
    <definedName name="Consol_Tol_Per">Monitoring!$C$63</definedName>
    <definedName name="Controlled_Tol">Monitoring!$C$61</definedName>
    <definedName name="Early_Stats_Last_Year">Background!$A$73:$BM$104</definedName>
    <definedName name="Final_Figures_Last_Year">Background!$A$116:$AR$145</definedName>
    <definedName name="HTML_CodePage" hidden="1">1252</definedName>
    <definedName name="HTML_Control" hidden="1">{"'Page1'!$E$11:$AJ$51","'Page1'!$A$1"}</definedName>
    <definedName name="HTML_Description" hidden="1">""</definedName>
    <definedName name="HTML_Email" hidden="1">""</definedName>
    <definedName name="HTML_Header" hidden="1">"Page1"</definedName>
    <definedName name="HTML_LastUpdate" hidden="1">"07/10/1999"</definedName>
    <definedName name="HTML_LineAfter" hidden="1">TRUE</definedName>
    <definedName name="HTML_LineBefore" hidden="1">TRUE</definedName>
    <definedName name="HTML_Name" hidden="1">"ISU"</definedName>
    <definedName name="HTML_OBDlg2" hidden="1">TRUE</definedName>
    <definedName name="HTML_OBDlg4" hidden="1">TRUE</definedName>
    <definedName name="HTML_OS" hidden="1">0</definedName>
    <definedName name="HTML_PathFile" hidden="1">"c:\windows\desktop\MyHTML.htm"</definedName>
    <definedName name="HTML_Title" hidden="1">"CONVFACT"</definedName>
    <definedName name="Inst_FPs">Background!$A$13:$BA$31</definedName>
    <definedName name="Inst_Tables">Background!$A$42:$Q$61</definedName>
    <definedName name="Intake_inconsistent">'Table 2a (ITE)'!$AE$11</definedName>
    <definedName name="Intake_missing">'Table 2a (ITE)'!$AE$12</definedName>
    <definedName name="Intake_too_high" localSheetId="2">'Table 2a (ITE)'!$AE$11</definedName>
    <definedName name="Non_controlled_Tol">Monitoring!$C$62</definedName>
    <definedName name="Only_intake_recorded">'Table 2a (ITE)'!$AE$14</definedName>
    <definedName name="_xlnm.Print_Area" localSheetId="15">Background!$A$9:$BA$32,Background!$A$40:$P$61,Background!$A$69:$BA$104</definedName>
    <definedName name="_xlnm.Print_Area" localSheetId="0">Contents!$A$1:$E$22</definedName>
    <definedName name="_xlnm.Print_Area" localSheetId="14">Monitoring!$B$1:$J$58</definedName>
    <definedName name="_xlnm.Print_Area" localSheetId="1">'Table 1 (Main)'!$A$1:$AN$50</definedName>
    <definedName name="_xlnm.Print_Area" localSheetId="2">'Table 2a (ITE)'!$A$2:$M$33</definedName>
    <definedName name="_xlnm.Print_Area" localSheetId="3">'Table 2b (TQFE)'!$A$2:$Q$15</definedName>
    <definedName name="_xlnm.Print_Area" localSheetId="4">'Table 2c (Catholic ITE)'!$A$2:$F$16</definedName>
    <definedName name="_xlnm.Print_Area" localSheetId="5">'Table 2d PGDE Subjects'!$B$2:$Z$33</definedName>
    <definedName name="_xlnm.Print_Area" localSheetId="6">'Table 3 (Med, Dent)'!$A$2:$Q$40</definedName>
    <definedName name="_xlnm.Print_Area" localSheetId="7">'Table 4a (Cont Nre and Mid)'!$A$2:$H$47</definedName>
    <definedName name="_xlnm.Print_Area" localSheetId="8">'Table 4b (Cont 4 Year Nurse)'!$A$2:$E$19</definedName>
    <definedName name="_xlnm.Print_Area" localSheetId="9">'Table 5a (Widen Access FPs)'!$A$2:$E$15</definedName>
    <definedName name="_xlnm.Print_Area" localSheetId="10">'Table 5b (Artic FPs)'!$A$2:$D$28</definedName>
    <definedName name="_xlnm.Print_Area" localSheetId="11">'Table 5c (UG Skills FPs)'!$A$2:$D$33</definedName>
    <definedName name="_xlnm.Print_Area" localSheetId="12">'Table 5d (TPG FPs)'!$A$2:$D$38</definedName>
    <definedName name="_xlnm.Print_Area" localSheetId="13">'Table 5e (Other Add FPs)'!$A$2:$G$46</definedName>
    <definedName name="_xlnm.Print_Titles" localSheetId="15">Background!$A:$B</definedName>
    <definedName name="_xlnm.Print_Titles" localSheetId="14">Monitoring!$1:$3</definedName>
    <definedName name="_xlnm.Print_Titles" localSheetId="1">'Table 1 (Main)'!$A:$B</definedName>
    <definedName name="_xlnm.Print_Titles" localSheetId="13">'Table 5e (Other Add FPs)'!$2:$7</definedName>
  </definedNames>
  <calcPr calcId="145621"/>
</workbook>
</file>

<file path=xl/calcChain.xml><?xml version="1.0" encoding="utf-8"?>
<calcChain xmlns="http://schemas.openxmlformats.org/spreadsheetml/2006/main">
  <c r="C23" i="42" l="1"/>
  <c r="C24" i="42"/>
  <c r="C25" i="42" l="1"/>
  <c r="E25" i="42"/>
  <c r="C37" i="36" l="1"/>
  <c r="C58" i="36" l="1"/>
  <c r="C56" i="36"/>
  <c r="C27" i="36"/>
  <c r="F42" i="45"/>
  <c r="C33" i="44"/>
  <c r="C18" i="41"/>
  <c r="N38" i="48"/>
  <c r="K15" i="48"/>
  <c r="J15" i="48"/>
  <c r="U15" i="48"/>
  <c r="T15" i="48"/>
  <c r="S15" i="48"/>
  <c r="R15" i="48"/>
  <c r="C46" i="48"/>
  <c r="C45" i="48"/>
  <c r="C23" i="48"/>
  <c r="C28" i="48"/>
  <c r="C38" i="48" s="1"/>
  <c r="C33" i="48"/>
  <c r="C37" i="48"/>
  <c r="G45" i="48"/>
  <c r="C18" i="48"/>
  <c r="G16" i="48"/>
  <c r="G15" i="48"/>
  <c r="N38" i="15"/>
  <c r="N36" i="15"/>
  <c r="L34" i="15"/>
  <c r="F34" i="15"/>
  <c r="F37" i="15"/>
  <c r="C38" i="15"/>
  <c r="C36" i="15"/>
  <c r="P23" i="15"/>
  <c r="P18" i="15"/>
  <c r="D24" i="15"/>
  <c r="D23" i="15"/>
  <c r="D18" i="15"/>
  <c r="N16" i="15"/>
  <c r="AO16" i="15" s="1"/>
  <c r="C18" i="15"/>
  <c r="I17" i="15"/>
  <c r="I16" i="15"/>
  <c r="AJ16" i="15" s="1"/>
  <c r="Y16" i="46"/>
  <c r="Y15" i="46"/>
  <c r="Y14" i="46"/>
  <c r="Y13" i="46"/>
  <c r="X13" i="46"/>
  <c r="W32" i="46"/>
  <c r="C32" i="46"/>
  <c r="W13" i="46"/>
  <c r="D15" i="14"/>
  <c r="C15" i="14"/>
  <c r="E13" i="14"/>
  <c r="P14" i="13"/>
  <c r="O14" i="13"/>
  <c r="P13" i="13"/>
  <c r="O13" i="13"/>
  <c r="L31" i="39"/>
  <c r="L29" i="39"/>
  <c r="L28" i="39"/>
  <c r="L27" i="39"/>
  <c r="H25" i="39"/>
  <c r="G25" i="39"/>
  <c r="L25" i="39" s="1"/>
  <c r="E25" i="39"/>
  <c r="D25" i="39"/>
  <c r="C25" i="39"/>
  <c r="L24" i="39"/>
  <c r="L23" i="39"/>
  <c r="L20" i="39"/>
  <c r="L17" i="39"/>
  <c r="L16" i="39"/>
  <c r="V16" i="39" s="1"/>
  <c r="P24" i="15" l="1"/>
  <c r="M34" i="15"/>
  <c r="AN16" i="15"/>
  <c r="AI16" i="15"/>
  <c r="O16" i="15"/>
  <c r="W16" i="39"/>
  <c r="U39" i="34"/>
  <c r="U36" i="34"/>
  <c r="U35" i="34"/>
  <c r="N16" i="34"/>
  <c r="N13" i="34"/>
  <c r="M13" i="34"/>
  <c r="K44" i="34"/>
  <c r="J44" i="34"/>
  <c r="L43" i="34"/>
  <c r="L42" i="34"/>
  <c r="L44" i="34" s="1"/>
  <c r="L40" i="34"/>
  <c r="L39" i="34"/>
  <c r="L37" i="34"/>
  <c r="L35" i="34"/>
  <c r="L34" i="34"/>
  <c r="L32" i="34"/>
  <c r="L31" i="34"/>
  <c r="L30" i="34"/>
  <c r="L29" i="34"/>
  <c r="K25" i="34"/>
  <c r="J25" i="34"/>
  <c r="L24" i="34"/>
  <c r="L23" i="34"/>
  <c r="L22" i="34"/>
  <c r="L17" i="34"/>
  <c r="L19" i="34" s="1"/>
  <c r="L16" i="34"/>
  <c r="L13" i="34"/>
  <c r="K19" i="34"/>
  <c r="J19" i="34"/>
  <c r="H17" i="34"/>
  <c r="I17" i="34" s="1"/>
  <c r="H16" i="34"/>
  <c r="I16" i="34" s="1"/>
  <c r="F44" i="34"/>
  <c r="D44" i="34"/>
  <c r="C44" i="34"/>
  <c r="G25" i="34"/>
  <c r="F25" i="34"/>
  <c r="D25" i="34"/>
  <c r="C25" i="34"/>
  <c r="G19" i="34"/>
  <c r="F19" i="34"/>
  <c r="D19" i="34"/>
  <c r="C19" i="34"/>
  <c r="E29" i="34"/>
  <c r="E17" i="34"/>
  <c r="E16" i="34"/>
  <c r="M16" i="34" s="1"/>
  <c r="G17" i="34"/>
  <c r="I13" i="34"/>
  <c r="F45" i="34" l="1"/>
  <c r="J45" i="34"/>
  <c r="K45" i="34"/>
  <c r="H19" i="34"/>
  <c r="E19" i="34"/>
  <c r="I19" i="34"/>
  <c r="L25" i="34"/>
  <c r="L45" i="34" s="1"/>
  <c r="O13" i="34"/>
  <c r="I32" i="38"/>
  <c r="J32" i="38"/>
  <c r="AN15" i="38" l="1"/>
  <c r="AN16" i="38"/>
  <c r="AN17" i="38"/>
  <c r="AN18" i="38"/>
  <c r="AN19" i="38"/>
  <c r="AN20" i="38"/>
  <c r="AN21" i="38"/>
  <c r="AN22" i="38"/>
  <c r="AN23" i="38"/>
  <c r="AN24" i="38"/>
  <c r="AN25" i="38"/>
  <c r="AN26" i="38"/>
  <c r="AN27" i="38"/>
  <c r="AN28" i="38"/>
  <c r="AN29" i="38"/>
  <c r="AN30" i="38"/>
  <c r="AN31" i="38"/>
  <c r="AN14" i="38"/>
  <c r="AN13" i="38"/>
  <c r="AN33" i="38"/>
  <c r="R32" i="38"/>
  <c r="Q32" i="38"/>
  <c r="P32" i="38"/>
  <c r="O32" i="38"/>
  <c r="N32" i="38"/>
  <c r="M32" i="38"/>
  <c r="L32" i="38"/>
  <c r="K32" i="38"/>
  <c r="AA37" i="34"/>
  <c r="AE37" i="34" s="1"/>
  <c r="AA36" i="34"/>
  <c r="AE36" i="34" s="1"/>
  <c r="AA35" i="34"/>
  <c r="AE35" i="34" s="1"/>
  <c r="AA34" i="34"/>
  <c r="AA32" i="34"/>
  <c r="AA31" i="34"/>
  <c r="AA30" i="34"/>
  <c r="AA29" i="34"/>
  <c r="AA23" i="34"/>
  <c r="AA22" i="34"/>
  <c r="Y40" i="34"/>
  <c r="AC40" i="34" s="1"/>
  <c r="X40" i="34"/>
  <c r="Z18" i="34"/>
  <c r="AD18" i="34" s="1"/>
  <c r="AI43" i="34"/>
  <c r="AH43" i="34"/>
  <c r="AI42" i="34"/>
  <c r="AH42" i="34"/>
  <c r="AI39" i="34"/>
  <c r="AH39" i="34"/>
  <c r="AI37" i="34"/>
  <c r="AH37" i="34"/>
  <c r="AI36" i="34"/>
  <c r="AH36" i="34"/>
  <c r="AI35" i="34"/>
  <c r="AH35" i="34"/>
  <c r="AI34" i="34"/>
  <c r="AH34" i="34"/>
  <c r="AI32" i="34"/>
  <c r="AH32" i="34"/>
  <c r="AI31" i="34"/>
  <c r="AH31" i="34"/>
  <c r="AI30" i="34"/>
  <c r="AH30" i="34"/>
  <c r="AI29" i="34"/>
  <c r="AH29" i="34"/>
  <c r="AI24" i="34"/>
  <c r="AH24" i="34"/>
  <c r="AI23" i="34"/>
  <c r="AH23" i="34"/>
  <c r="AI22" i="34"/>
  <c r="AH22" i="34"/>
  <c r="AI17" i="34"/>
  <c r="AH17" i="34"/>
  <c r="AI16" i="34"/>
  <c r="AH16" i="34"/>
  <c r="AI13" i="34"/>
  <c r="AH13" i="34"/>
  <c r="AR144" i="38"/>
  <c r="AQ144" i="38"/>
  <c r="AR127" i="38"/>
  <c r="AQ127" i="38"/>
  <c r="AR121" i="38"/>
  <c r="AQ121" i="38"/>
  <c r="AQ145" i="38"/>
  <c r="AN144" i="38"/>
  <c r="AM144" i="38"/>
  <c r="AL144" i="38"/>
  <c r="AK144" i="38"/>
  <c r="AJ144" i="38"/>
  <c r="AI144" i="38"/>
  <c r="AH144" i="38"/>
  <c r="AG144" i="38"/>
  <c r="AF144" i="38"/>
  <c r="AE144" i="38"/>
  <c r="AN127" i="38"/>
  <c r="AM127" i="38"/>
  <c r="AL127" i="38"/>
  <c r="AK127" i="38"/>
  <c r="AJ127" i="38"/>
  <c r="AI127" i="38"/>
  <c r="AH127" i="38"/>
  <c r="AG127" i="38"/>
  <c r="AF127" i="38"/>
  <c r="AE127" i="38"/>
  <c r="AN121" i="38"/>
  <c r="AM121" i="38"/>
  <c r="AL121" i="38"/>
  <c r="AK121" i="38"/>
  <c r="AK145" i="38" s="1"/>
  <c r="AJ121" i="38"/>
  <c r="AI121" i="38"/>
  <c r="AH121" i="38"/>
  <c r="AG121" i="38"/>
  <c r="AG145" i="38" s="1"/>
  <c r="AF121" i="38"/>
  <c r="AE121" i="38"/>
  <c r="AN145" i="38"/>
  <c r="AM145" i="38"/>
  <c r="AL145" i="38"/>
  <c r="AJ145" i="38"/>
  <c r="AI145" i="38"/>
  <c r="AH145" i="38"/>
  <c r="AF145" i="38"/>
  <c r="AE145" i="38"/>
  <c r="AD144" i="38"/>
  <c r="AC144" i="38"/>
  <c r="AB144" i="38"/>
  <c r="AA144" i="38"/>
  <c r="Z144" i="38"/>
  <c r="Y144" i="38"/>
  <c r="X144" i="38"/>
  <c r="W144" i="38"/>
  <c r="V144" i="38"/>
  <c r="U144" i="38"/>
  <c r="T144" i="38"/>
  <c r="S144" i="38"/>
  <c r="R144" i="38"/>
  <c r="Q144" i="38"/>
  <c r="AD127" i="38"/>
  <c r="AC127" i="38"/>
  <c r="AB127" i="38"/>
  <c r="AA127" i="38"/>
  <c r="Z127" i="38"/>
  <c r="Y127" i="38"/>
  <c r="X127" i="38"/>
  <c r="W127" i="38"/>
  <c r="V127" i="38"/>
  <c r="U127" i="38"/>
  <c r="T127" i="38"/>
  <c r="S127" i="38"/>
  <c r="R127" i="38"/>
  <c r="Q127" i="38"/>
  <c r="AD121" i="38"/>
  <c r="AC121" i="38"/>
  <c r="AB121" i="38"/>
  <c r="AB145" i="38" s="1"/>
  <c r="AA121" i="38"/>
  <c r="AA145" i="38" s="1"/>
  <c r="Z121" i="38"/>
  <c r="Y121" i="38"/>
  <c r="X121" i="38"/>
  <c r="W121" i="38"/>
  <c r="W145" i="38" s="1"/>
  <c r="V121" i="38"/>
  <c r="U121" i="38"/>
  <c r="T121" i="38"/>
  <c r="S121" i="38"/>
  <c r="S145" i="38" s="1"/>
  <c r="R121" i="38"/>
  <c r="Q121" i="38"/>
  <c r="AD145" i="38"/>
  <c r="AC145" i="38"/>
  <c r="Z145" i="38"/>
  <c r="Y145" i="38"/>
  <c r="X145" i="38"/>
  <c r="V145" i="38"/>
  <c r="U145" i="38"/>
  <c r="T145" i="38"/>
  <c r="R145" i="38"/>
  <c r="Q145" i="38"/>
  <c r="P144" i="38"/>
  <c r="O144" i="38"/>
  <c r="P127" i="38"/>
  <c r="O127" i="38"/>
  <c r="O145" i="38" s="1"/>
  <c r="P121" i="38"/>
  <c r="O121" i="38"/>
  <c r="N144" i="38"/>
  <c r="M144" i="38"/>
  <c r="N127" i="38"/>
  <c r="M127" i="38"/>
  <c r="N121" i="38"/>
  <c r="N145" i="38" s="1"/>
  <c r="M121" i="38"/>
  <c r="M145" i="38" s="1"/>
  <c r="L144" i="38"/>
  <c r="K144" i="38"/>
  <c r="L127" i="38"/>
  <c r="K127" i="38"/>
  <c r="L121" i="38"/>
  <c r="L145" i="38" s="1"/>
  <c r="K121" i="38"/>
  <c r="K145" i="38" s="1"/>
  <c r="J144" i="38"/>
  <c r="I144" i="38"/>
  <c r="J127" i="38"/>
  <c r="I127" i="38"/>
  <c r="J121" i="38"/>
  <c r="I121" i="38"/>
  <c r="I145" i="38"/>
  <c r="H144" i="38"/>
  <c r="G144" i="38"/>
  <c r="H127" i="38"/>
  <c r="G127" i="38"/>
  <c r="G145" i="38" s="1"/>
  <c r="H121" i="38"/>
  <c r="G121" i="38"/>
  <c r="F144" i="38"/>
  <c r="E144" i="38"/>
  <c r="F127" i="38"/>
  <c r="E127" i="38"/>
  <c r="F121" i="38"/>
  <c r="F145" i="38" s="1"/>
  <c r="E121" i="38"/>
  <c r="E145" i="38" s="1"/>
  <c r="J145" i="38" l="1"/>
  <c r="AR145" i="38"/>
  <c r="H145" i="38"/>
  <c r="P145" i="38"/>
  <c r="AI44" i="34"/>
  <c r="AH19" i="34"/>
  <c r="AH44" i="34"/>
  <c r="AI19" i="34"/>
  <c r="AK13" i="34"/>
  <c r="AJ13" i="34"/>
  <c r="AL13" i="34"/>
  <c r="AH25" i="34"/>
  <c r="AI25" i="34"/>
  <c r="Z40" i="34"/>
  <c r="AH45" i="34" l="1"/>
  <c r="AI45" i="34"/>
  <c r="AM13" i="34"/>
  <c r="AR103" i="38"/>
  <c r="AQ103" i="38"/>
  <c r="AR84" i="38"/>
  <c r="AQ84" i="38"/>
  <c r="AR78" i="38"/>
  <c r="AQ78" i="38"/>
  <c r="AQ104" i="38"/>
  <c r="AN103" i="38"/>
  <c r="AM103" i="38"/>
  <c r="AN84" i="38"/>
  <c r="AM84" i="38"/>
  <c r="AM104" i="38" s="1"/>
  <c r="AN78" i="38"/>
  <c r="AN104" i="38" s="1"/>
  <c r="AM78" i="38"/>
  <c r="AL103" i="38"/>
  <c r="AK103" i="38"/>
  <c r="AJ103" i="38"/>
  <c r="AI103" i="38"/>
  <c r="AH103" i="38"/>
  <c r="AG103" i="38"/>
  <c r="AF103" i="38"/>
  <c r="AE103" i="38"/>
  <c r="AD103" i="38"/>
  <c r="AC103" i="38"/>
  <c r="AL84" i="38"/>
  <c r="AK84" i="38"/>
  <c r="AJ84" i="38"/>
  <c r="AJ104" i="38" s="1"/>
  <c r="AI84" i="38"/>
  <c r="AH84" i="38"/>
  <c r="AG84" i="38"/>
  <c r="AF84" i="38"/>
  <c r="AF104" i="38" s="1"/>
  <c r="AE84" i="38"/>
  <c r="AE104" i="38" s="1"/>
  <c r="AD84" i="38"/>
  <c r="AC84" i="38"/>
  <c r="AL78" i="38"/>
  <c r="AL104" i="38" s="1"/>
  <c r="AK78" i="38"/>
  <c r="AK104" i="38" s="1"/>
  <c r="AJ78" i="38"/>
  <c r="AI78" i="38"/>
  <c r="AH78" i="38"/>
  <c r="AG78" i="38"/>
  <c r="AF78" i="38"/>
  <c r="AE78" i="38"/>
  <c r="AD78" i="38"/>
  <c r="AC78" i="38"/>
  <c r="AH104" i="38"/>
  <c r="AG104" i="38"/>
  <c r="AD104" i="38"/>
  <c r="AC104" i="38"/>
  <c r="AB103" i="38"/>
  <c r="AA103" i="38"/>
  <c r="Z103" i="38"/>
  <c r="Y103" i="38"/>
  <c r="X103" i="38"/>
  <c r="W103" i="38"/>
  <c r="V103" i="38"/>
  <c r="U103" i="38"/>
  <c r="T103" i="38"/>
  <c r="S103" i="38"/>
  <c r="AB84" i="38"/>
  <c r="AA84" i="38"/>
  <c r="Z84" i="38"/>
  <c r="Y84" i="38"/>
  <c r="X84" i="38"/>
  <c r="X104" i="38" s="1"/>
  <c r="W84" i="38"/>
  <c r="V84" i="38"/>
  <c r="U84" i="38"/>
  <c r="T84" i="38"/>
  <c r="T104" i="38" s="1"/>
  <c r="S84" i="38"/>
  <c r="S104" i="38" s="1"/>
  <c r="AB78" i="38"/>
  <c r="AA78" i="38"/>
  <c r="Z78" i="38"/>
  <c r="Z104" i="38" s="1"/>
  <c r="Y78" i="38"/>
  <c r="Y104" i="38" s="1"/>
  <c r="X78" i="38"/>
  <c r="W78" i="38"/>
  <c r="V78" i="38"/>
  <c r="V104" i="38" s="1"/>
  <c r="U78" i="38"/>
  <c r="U104" i="38" s="1"/>
  <c r="T78" i="38"/>
  <c r="S78" i="38"/>
  <c r="AB104" i="38"/>
  <c r="AA104" i="38"/>
  <c r="W104" i="38"/>
  <c r="R103" i="38"/>
  <c r="Q103" i="38"/>
  <c r="P103" i="38"/>
  <c r="O103" i="38"/>
  <c r="N103" i="38"/>
  <c r="M103" i="38"/>
  <c r="L103" i="38"/>
  <c r="K103" i="38"/>
  <c r="R84" i="38"/>
  <c r="Q84" i="38"/>
  <c r="P84" i="38"/>
  <c r="O84" i="38"/>
  <c r="N84" i="38"/>
  <c r="M84" i="38"/>
  <c r="L84" i="38"/>
  <c r="K84" i="38"/>
  <c r="R78" i="38"/>
  <c r="Q78" i="38"/>
  <c r="P78" i="38"/>
  <c r="O78" i="38"/>
  <c r="N78" i="38"/>
  <c r="M78" i="38"/>
  <c r="L78" i="38"/>
  <c r="K78" i="38"/>
  <c r="R104" i="38"/>
  <c r="Q104" i="38"/>
  <c r="P104" i="38"/>
  <c r="O104" i="38"/>
  <c r="N104" i="38"/>
  <c r="M104" i="38"/>
  <c r="L104" i="38"/>
  <c r="K104" i="38"/>
  <c r="J103" i="38"/>
  <c r="I103" i="38"/>
  <c r="J84" i="38"/>
  <c r="I84" i="38"/>
  <c r="J78" i="38"/>
  <c r="J104" i="38" s="1"/>
  <c r="I78" i="38"/>
  <c r="I104" i="38" s="1"/>
  <c r="H103" i="38"/>
  <c r="G103" i="38"/>
  <c r="H84" i="38"/>
  <c r="G84" i="38"/>
  <c r="G104" i="38" s="1"/>
  <c r="H78" i="38"/>
  <c r="G78" i="38"/>
  <c r="F103" i="38"/>
  <c r="E103" i="38"/>
  <c r="F84" i="38"/>
  <c r="E84" i="38"/>
  <c r="E104" i="38" s="1"/>
  <c r="F78" i="38"/>
  <c r="F104" i="38" s="1"/>
  <c r="E78" i="38"/>
  <c r="H104" i="38" l="1"/>
  <c r="AR104" i="38"/>
  <c r="AI104" i="38"/>
  <c r="BL91" i="38"/>
  <c r="BL82" i="38"/>
  <c r="BL96" i="38"/>
  <c r="BL77" i="38"/>
  <c r="BL89" i="38"/>
  <c r="BL94" i="38"/>
  <c r="BL81" i="38"/>
  <c r="BL88" i="38"/>
  <c r="BL90" i="38"/>
  <c r="BL93" i="38"/>
  <c r="BL95" i="38"/>
  <c r="C103" i="38" l="1"/>
  <c r="C84" i="38"/>
  <c r="C78" i="38"/>
  <c r="AP99" i="38"/>
  <c r="AO99" i="38"/>
  <c r="C104" i="38" l="1"/>
  <c r="K36" i="48"/>
  <c r="J36" i="48"/>
  <c r="K31" i="48"/>
  <c r="J31" i="48"/>
  <c r="K26" i="48"/>
  <c r="J26" i="48"/>
  <c r="K21" i="48"/>
  <c r="J21" i="48"/>
  <c r="K16" i="48"/>
  <c r="J16" i="48"/>
  <c r="F45" i="48"/>
  <c r="E45" i="48"/>
  <c r="D45" i="48"/>
  <c r="G44" i="48"/>
  <c r="T44" i="48" s="1"/>
  <c r="R43" i="48"/>
  <c r="G43" i="48"/>
  <c r="U43" i="48" s="1"/>
  <c r="G42" i="48"/>
  <c r="T42" i="48" s="1"/>
  <c r="R41" i="48"/>
  <c r="G41" i="48"/>
  <c r="U41" i="48" s="1"/>
  <c r="G40" i="48"/>
  <c r="T40" i="48" s="1"/>
  <c r="F37" i="48"/>
  <c r="E37" i="48"/>
  <c r="D37" i="48"/>
  <c r="G36" i="48"/>
  <c r="R35" i="48"/>
  <c r="G35" i="48"/>
  <c r="U35" i="48" s="1"/>
  <c r="F33" i="48"/>
  <c r="E33" i="48"/>
  <c r="G33" i="48" s="1"/>
  <c r="D33" i="48"/>
  <c r="G32" i="48"/>
  <c r="U32" i="48" s="1"/>
  <c r="G31" i="48"/>
  <c r="G30" i="48"/>
  <c r="U30" i="48" s="1"/>
  <c r="F28" i="48"/>
  <c r="E28" i="48"/>
  <c r="G28" i="48" s="1"/>
  <c r="D28" i="48"/>
  <c r="G27" i="48"/>
  <c r="U27" i="48" s="1"/>
  <c r="G26" i="48"/>
  <c r="G25" i="48"/>
  <c r="U25" i="48" s="1"/>
  <c r="F23" i="48"/>
  <c r="E23" i="48"/>
  <c r="G23" i="48" s="1"/>
  <c r="D23" i="48"/>
  <c r="G22" i="48"/>
  <c r="U22" i="48" s="1"/>
  <c r="G21" i="48"/>
  <c r="G20" i="48"/>
  <c r="U20" i="48" s="1"/>
  <c r="F18" i="48"/>
  <c r="F38" i="48" s="1"/>
  <c r="F46" i="48" s="1"/>
  <c r="E18" i="48"/>
  <c r="E38" i="48" s="1"/>
  <c r="E46" i="48" s="1"/>
  <c r="D18" i="48"/>
  <c r="D38" i="48" s="1"/>
  <c r="D46" i="48" s="1"/>
  <c r="G17" i="48"/>
  <c r="U17" i="48" s="1"/>
  <c r="F4" i="48"/>
  <c r="B1" i="48" s="1"/>
  <c r="T17" i="48" l="1"/>
  <c r="K17" i="48" s="1"/>
  <c r="T20" i="48"/>
  <c r="T22" i="48"/>
  <c r="K22" i="48" s="1"/>
  <c r="T25" i="48"/>
  <c r="T27" i="48"/>
  <c r="K27" i="48" s="1"/>
  <c r="T30" i="48"/>
  <c r="T32" i="48"/>
  <c r="K32" i="48" s="1"/>
  <c r="T35" i="48"/>
  <c r="G37" i="48"/>
  <c r="R17" i="48"/>
  <c r="R20" i="48"/>
  <c r="R22" i="48"/>
  <c r="R25" i="48"/>
  <c r="R27" i="48"/>
  <c r="R30" i="48"/>
  <c r="R32" i="48"/>
  <c r="T41" i="48"/>
  <c r="T43" i="48"/>
  <c r="K30" i="48"/>
  <c r="K20" i="48"/>
  <c r="G46" i="48"/>
  <c r="G38" i="48"/>
  <c r="K25" i="48"/>
  <c r="K35" i="48"/>
  <c r="K41" i="48"/>
  <c r="K43" i="48"/>
  <c r="G18" i="48"/>
  <c r="S40" i="48"/>
  <c r="U40" i="48"/>
  <c r="K40" i="48" s="1"/>
  <c r="S42" i="48"/>
  <c r="U42" i="48"/>
  <c r="K42" i="48" s="1"/>
  <c r="S44" i="48"/>
  <c r="U44" i="48"/>
  <c r="K44" i="48" s="1"/>
  <c r="S17" i="48"/>
  <c r="J17" i="48" s="1"/>
  <c r="S20" i="48"/>
  <c r="J20" i="48" s="1"/>
  <c r="S22" i="48"/>
  <c r="J22" i="48" s="1"/>
  <c r="S25" i="48"/>
  <c r="J25" i="48" s="1"/>
  <c r="S27" i="48"/>
  <c r="J27" i="48" s="1"/>
  <c r="S30" i="48"/>
  <c r="J30" i="48" s="1"/>
  <c r="S32" i="48"/>
  <c r="J32" i="48" s="1"/>
  <c r="S35" i="48"/>
  <c r="J35" i="48" s="1"/>
  <c r="R40" i="48"/>
  <c r="J40" i="48" s="1"/>
  <c r="S41" i="48"/>
  <c r="J41" i="48" s="1"/>
  <c r="R42" i="48"/>
  <c r="J42" i="48" s="1"/>
  <c r="S43" i="48"/>
  <c r="J43" i="48" s="1"/>
  <c r="R44" i="48"/>
  <c r="J44" i="48" s="1"/>
  <c r="E15" i="47"/>
  <c r="D15" i="47" s="1"/>
  <c r="E14" i="47"/>
  <c r="D14" i="47" s="1"/>
  <c r="E13" i="47"/>
  <c r="D13" i="47" s="1"/>
  <c r="E11" i="47"/>
  <c r="D11" i="47" s="1"/>
  <c r="E10" i="47"/>
  <c r="D10" i="47" s="1"/>
  <c r="E9" i="47"/>
  <c r="D9" i="47" s="1"/>
  <c r="W15" i="46"/>
  <c r="X15" i="46" s="1"/>
  <c r="W31" i="46"/>
  <c r="X31" i="46" s="1"/>
  <c r="W30" i="46"/>
  <c r="X30" i="46" s="1"/>
  <c r="W29" i="46"/>
  <c r="X29" i="46" s="1"/>
  <c r="W28" i="46"/>
  <c r="X28" i="46" s="1"/>
  <c r="W27" i="46"/>
  <c r="X27" i="46" s="1"/>
  <c r="W26" i="46"/>
  <c r="X26" i="46" s="1"/>
  <c r="W25" i="46"/>
  <c r="X25" i="46" s="1"/>
  <c r="W24" i="46"/>
  <c r="X24" i="46" s="1"/>
  <c r="W23" i="46"/>
  <c r="X23" i="46" s="1"/>
  <c r="W22" i="46"/>
  <c r="X22" i="46" s="1"/>
  <c r="W21" i="46"/>
  <c r="X21" i="46" s="1"/>
  <c r="W20" i="46"/>
  <c r="X20" i="46" s="1"/>
  <c r="W19" i="46"/>
  <c r="X19" i="46" s="1"/>
  <c r="W18" i="46"/>
  <c r="X18" i="46" s="1"/>
  <c r="W17" i="46"/>
  <c r="X17" i="46" s="1"/>
  <c r="W16" i="46"/>
  <c r="X16" i="46" s="1"/>
  <c r="W14" i="46"/>
  <c r="X14" i="46" s="1"/>
  <c r="V32" i="46"/>
  <c r="U32" i="46"/>
  <c r="Y30" i="46" s="1"/>
  <c r="T32" i="46"/>
  <c r="S32" i="46"/>
  <c r="Y28" i="46" s="1"/>
  <c r="R32" i="46"/>
  <c r="Q32" i="46"/>
  <c r="Y26" i="46" s="1"/>
  <c r="P32" i="46"/>
  <c r="O32" i="46"/>
  <c r="Y24" i="46" s="1"/>
  <c r="N32" i="46"/>
  <c r="M32" i="46"/>
  <c r="L32" i="46"/>
  <c r="K32" i="46"/>
  <c r="J32" i="46"/>
  <c r="I32" i="46"/>
  <c r="H32" i="46"/>
  <c r="G32" i="46"/>
  <c r="F32" i="46"/>
  <c r="E32" i="46"/>
  <c r="D32" i="46"/>
  <c r="X32" i="46" l="1"/>
  <c r="Y31" i="46"/>
  <c r="Y18" i="46"/>
  <c r="Y20" i="46"/>
  <c r="Y22" i="46"/>
  <c r="Y17" i="46"/>
  <c r="Y19" i="46"/>
  <c r="Y21" i="46"/>
  <c r="Y23" i="46"/>
  <c r="Y27" i="46"/>
  <c r="Y29" i="46"/>
  <c r="Y25" i="46"/>
  <c r="G4" i="13"/>
  <c r="B1" i="13" s="1"/>
  <c r="E4" i="41"/>
  <c r="F4" i="15"/>
  <c r="F60" i="38" l="1"/>
  <c r="F59" i="38"/>
  <c r="F58" i="38"/>
  <c r="F57" i="38"/>
  <c r="F56" i="38"/>
  <c r="F55" i="38"/>
  <c r="F54" i="38"/>
  <c r="F53" i="38"/>
  <c r="F52" i="38"/>
  <c r="F51" i="38"/>
  <c r="F50" i="38"/>
  <c r="F49" i="38"/>
  <c r="F48" i="38"/>
  <c r="F47" i="38"/>
  <c r="F46" i="38"/>
  <c r="F45" i="38"/>
  <c r="F44" i="38"/>
  <c r="F43" i="38"/>
  <c r="F42" i="38"/>
  <c r="E12" i="47" l="1"/>
  <c r="D12" i="47" s="1"/>
  <c r="G4" i="46"/>
  <c r="B1" i="46" s="1"/>
  <c r="D10" i="40"/>
  <c r="C29" i="43"/>
  <c r="C28" i="43"/>
  <c r="D12" i="40" l="1"/>
  <c r="F12" i="40"/>
  <c r="E30" i="43"/>
  <c r="C30" i="43"/>
  <c r="G36" i="15" l="1"/>
  <c r="G38" i="15" s="1"/>
  <c r="C23" i="15"/>
  <c r="K36" i="15"/>
  <c r="K38" i="15" s="1"/>
  <c r="J36" i="15"/>
  <c r="J38" i="15" s="1"/>
  <c r="I36" i="15"/>
  <c r="I38" i="15" s="1"/>
  <c r="H36" i="15"/>
  <c r="H38" i="15" s="1"/>
  <c r="E36" i="15"/>
  <c r="E38" i="15" s="1"/>
  <c r="D36" i="15"/>
  <c r="D38" i="15" s="1"/>
  <c r="M18" i="15"/>
  <c r="L18" i="15"/>
  <c r="K18" i="15"/>
  <c r="J18" i="15"/>
  <c r="H18" i="15"/>
  <c r="G18" i="15"/>
  <c r="F18" i="15"/>
  <c r="E18" i="15"/>
  <c r="C24" i="15" l="1"/>
  <c r="J17" i="41"/>
  <c r="B1" i="41"/>
  <c r="C54" i="36"/>
  <c r="C53" i="36"/>
  <c r="C51" i="36"/>
  <c r="C49" i="36"/>
  <c r="D26" i="36"/>
  <c r="D24" i="36"/>
  <c r="D23" i="36"/>
  <c r="D19" i="36"/>
  <c r="D15" i="36"/>
  <c r="D14" i="36"/>
  <c r="E27" i="36"/>
  <c r="C24" i="36"/>
  <c r="C23" i="36"/>
  <c r="C22" i="36"/>
  <c r="C21" i="36"/>
  <c r="C20" i="36"/>
  <c r="C19" i="36"/>
  <c r="C17" i="36"/>
  <c r="C16" i="36"/>
  <c r="C15" i="36"/>
  <c r="C14" i="36"/>
  <c r="BA32" i="38"/>
  <c r="AZ32" i="38"/>
  <c r="AY32" i="38"/>
  <c r="AX32" i="38"/>
  <c r="AW32" i="38"/>
  <c r="AV32" i="38"/>
  <c r="AT32" i="38"/>
  <c r="AS32" i="38"/>
  <c r="AR32" i="38"/>
  <c r="AQ32" i="38"/>
  <c r="AP32" i="38"/>
  <c r="AO32" i="38"/>
  <c r="AU33" i="38"/>
  <c r="AU14" i="38"/>
  <c r="AU15" i="38"/>
  <c r="AU16" i="38"/>
  <c r="AU17" i="38"/>
  <c r="AU18" i="38"/>
  <c r="AU19" i="38"/>
  <c r="AU20" i="38"/>
  <c r="AU21" i="38"/>
  <c r="AU22" i="38"/>
  <c r="AU23" i="38"/>
  <c r="AU24" i="38"/>
  <c r="AU25" i="38"/>
  <c r="AU26" i="38"/>
  <c r="AU27" i="38"/>
  <c r="AU28" i="38"/>
  <c r="AU29" i="38"/>
  <c r="AU30" i="38"/>
  <c r="AU31" i="38"/>
  <c r="AU13" i="38"/>
  <c r="AN32" i="38"/>
  <c r="AM32" i="38"/>
  <c r="AL32" i="38"/>
  <c r="AK32" i="38"/>
  <c r="AJ32" i="38"/>
  <c r="AI32" i="38"/>
  <c r="AH32" i="38"/>
  <c r="AG32" i="38"/>
  <c r="AF32" i="38"/>
  <c r="AE32" i="38"/>
  <c r="AD32" i="38"/>
  <c r="AC32" i="38"/>
  <c r="AB32" i="38"/>
  <c r="T33" i="38"/>
  <c r="U33" i="38"/>
  <c r="V33" i="38"/>
  <c r="W33" i="38"/>
  <c r="X33" i="38"/>
  <c r="Y33" i="38"/>
  <c r="Z33" i="38"/>
  <c r="S33" i="38"/>
  <c r="Z31" i="38"/>
  <c r="Y31" i="38"/>
  <c r="X31" i="38"/>
  <c r="W31" i="38"/>
  <c r="V31" i="38"/>
  <c r="M60" i="38" s="1"/>
  <c r="U31" i="38"/>
  <c r="L60" i="38" s="1"/>
  <c r="T31" i="38"/>
  <c r="K60" i="38" s="1"/>
  <c r="Z30" i="38"/>
  <c r="Y30" i="38"/>
  <c r="X30" i="38"/>
  <c r="W30" i="38"/>
  <c r="V30" i="38"/>
  <c r="M59" i="38" s="1"/>
  <c r="U30" i="38"/>
  <c r="L59" i="38" s="1"/>
  <c r="T30" i="38"/>
  <c r="K59" i="38" s="1"/>
  <c r="Z29" i="38"/>
  <c r="Y29" i="38"/>
  <c r="X29" i="38"/>
  <c r="W29" i="38"/>
  <c r="V29" i="38"/>
  <c r="M58" i="38" s="1"/>
  <c r="U29" i="38"/>
  <c r="L58" i="38" s="1"/>
  <c r="T29" i="38"/>
  <c r="K58" i="38" s="1"/>
  <c r="Z28" i="38"/>
  <c r="Y28" i="38"/>
  <c r="X28" i="38"/>
  <c r="W28" i="38"/>
  <c r="V28" i="38"/>
  <c r="M57" i="38" s="1"/>
  <c r="U28" i="38"/>
  <c r="L57" i="38" s="1"/>
  <c r="T28" i="38"/>
  <c r="K57" i="38" s="1"/>
  <c r="Z27" i="38"/>
  <c r="Y27" i="38"/>
  <c r="X27" i="38"/>
  <c r="W27" i="38"/>
  <c r="V27" i="38"/>
  <c r="M56" i="38" s="1"/>
  <c r="U27" i="38"/>
  <c r="L56" i="38" s="1"/>
  <c r="T27" i="38"/>
  <c r="K56" i="38" s="1"/>
  <c r="Z26" i="38"/>
  <c r="Y26" i="38"/>
  <c r="X26" i="38"/>
  <c r="W26" i="38"/>
  <c r="V26" i="38"/>
  <c r="M55" i="38" s="1"/>
  <c r="U26" i="38"/>
  <c r="L55" i="38" s="1"/>
  <c r="T26" i="38"/>
  <c r="K55" i="38" s="1"/>
  <c r="Z25" i="38"/>
  <c r="Y25" i="38"/>
  <c r="X25" i="38"/>
  <c r="W25" i="38"/>
  <c r="V25" i="38"/>
  <c r="M54" i="38" s="1"/>
  <c r="U25" i="38"/>
  <c r="L54" i="38" s="1"/>
  <c r="T25" i="38"/>
  <c r="K54" i="38" s="1"/>
  <c r="Z24" i="38"/>
  <c r="Y24" i="38"/>
  <c r="X24" i="38"/>
  <c r="W24" i="38"/>
  <c r="V24" i="38"/>
  <c r="M53" i="38" s="1"/>
  <c r="U24" i="38"/>
  <c r="L53" i="38" s="1"/>
  <c r="T24" i="38"/>
  <c r="K53" i="38" s="1"/>
  <c r="Z23" i="38"/>
  <c r="Y23" i="38"/>
  <c r="X23" i="38"/>
  <c r="W23" i="38"/>
  <c r="V23" i="38"/>
  <c r="M52" i="38" s="1"/>
  <c r="U23" i="38"/>
  <c r="L52" i="38" s="1"/>
  <c r="T23" i="38"/>
  <c r="K52" i="38" s="1"/>
  <c r="Z22" i="38"/>
  <c r="Y22" i="38"/>
  <c r="X22" i="38"/>
  <c r="W22" i="38"/>
  <c r="V22" i="38"/>
  <c r="U22" i="38"/>
  <c r="L51" i="38" s="1"/>
  <c r="T22" i="38"/>
  <c r="K51" i="38" s="1"/>
  <c r="Z21" i="38"/>
  <c r="Y21" i="38"/>
  <c r="X21" i="38"/>
  <c r="W21" i="38"/>
  <c r="V21" i="38"/>
  <c r="M50" i="38" s="1"/>
  <c r="U21" i="38"/>
  <c r="L50" i="38" s="1"/>
  <c r="T21" i="38"/>
  <c r="K50" i="38" s="1"/>
  <c r="Z20" i="38"/>
  <c r="Y20" i="38"/>
  <c r="X20" i="38"/>
  <c r="W20" i="38"/>
  <c r="V20" i="38"/>
  <c r="M49" i="38" s="1"/>
  <c r="U20" i="38"/>
  <c r="L49" i="38" s="1"/>
  <c r="T20" i="38"/>
  <c r="K49" i="38" s="1"/>
  <c r="Z19" i="38"/>
  <c r="Y19" i="38"/>
  <c r="X19" i="38"/>
  <c r="W19" i="38"/>
  <c r="V19" i="38"/>
  <c r="M48" i="38" s="1"/>
  <c r="U19" i="38"/>
  <c r="L48" i="38" s="1"/>
  <c r="T19" i="38"/>
  <c r="K48" i="38" s="1"/>
  <c r="Z18" i="38"/>
  <c r="Y18" i="38"/>
  <c r="X18" i="38"/>
  <c r="W18" i="38"/>
  <c r="V18" i="38"/>
  <c r="M47" i="38" s="1"/>
  <c r="U18" i="38"/>
  <c r="L47" i="38" s="1"/>
  <c r="T18" i="38"/>
  <c r="K47" i="38" s="1"/>
  <c r="Z17" i="38"/>
  <c r="Y17" i="38"/>
  <c r="X17" i="38"/>
  <c r="W17" i="38"/>
  <c r="V17" i="38"/>
  <c r="M46" i="38" s="1"/>
  <c r="U17" i="38"/>
  <c r="L46" i="38" s="1"/>
  <c r="T17" i="38"/>
  <c r="K46" i="38" s="1"/>
  <c r="Z16" i="38"/>
  <c r="Y16" i="38"/>
  <c r="X16" i="38"/>
  <c r="W16" i="38"/>
  <c r="V16" i="38"/>
  <c r="M45" i="38" s="1"/>
  <c r="U16" i="38"/>
  <c r="L45" i="38" s="1"/>
  <c r="T16" i="38"/>
  <c r="K45" i="38" s="1"/>
  <c r="Z15" i="38"/>
  <c r="Y15" i="38"/>
  <c r="X15" i="38"/>
  <c r="W15" i="38"/>
  <c r="V15" i="38"/>
  <c r="M44" i="38" s="1"/>
  <c r="U15" i="38"/>
  <c r="L44" i="38" s="1"/>
  <c r="T15" i="38"/>
  <c r="K44" i="38" s="1"/>
  <c r="Z14" i="38"/>
  <c r="Y14" i="38"/>
  <c r="X14" i="38"/>
  <c r="W14" i="38"/>
  <c r="V14" i="38"/>
  <c r="M43" i="38" s="1"/>
  <c r="U14" i="38"/>
  <c r="L43" i="38" s="1"/>
  <c r="T14" i="38"/>
  <c r="K43" i="38" s="1"/>
  <c r="Z13" i="38"/>
  <c r="Y13" i="38"/>
  <c r="X13" i="38"/>
  <c r="W13" i="38"/>
  <c r="V13" i="38"/>
  <c r="M42" i="38" s="1"/>
  <c r="U13" i="38"/>
  <c r="L42" i="38" s="1"/>
  <c r="T13" i="38"/>
  <c r="K42" i="38" s="1"/>
  <c r="S14" i="38"/>
  <c r="J43" i="38" s="1"/>
  <c r="S15" i="38"/>
  <c r="J44" i="38" s="1"/>
  <c r="S16" i="38"/>
  <c r="J45" i="38" s="1"/>
  <c r="S17" i="38"/>
  <c r="J46" i="38" s="1"/>
  <c r="S18" i="38"/>
  <c r="J47" i="38" s="1"/>
  <c r="S19" i="38"/>
  <c r="J48" i="38" s="1"/>
  <c r="S20" i="38"/>
  <c r="J49" i="38" s="1"/>
  <c r="S21" i="38"/>
  <c r="J50" i="38" s="1"/>
  <c r="S22" i="38"/>
  <c r="J51" i="38" s="1"/>
  <c r="S23" i="38"/>
  <c r="J52" i="38" s="1"/>
  <c r="S24" i="38"/>
  <c r="J53" i="38" s="1"/>
  <c r="S25" i="38"/>
  <c r="J54" i="38" s="1"/>
  <c r="S26" i="38"/>
  <c r="J55" i="38" s="1"/>
  <c r="S27" i="38"/>
  <c r="J56" i="38" s="1"/>
  <c r="S28" i="38"/>
  <c r="J57" i="38" s="1"/>
  <c r="S29" i="38"/>
  <c r="J58" i="38" s="1"/>
  <c r="S30" i="38"/>
  <c r="J59" i="38" s="1"/>
  <c r="S31" i="38"/>
  <c r="J60" i="38" s="1"/>
  <c r="S13" i="38"/>
  <c r="J42" i="38" s="1"/>
  <c r="H32" i="38"/>
  <c r="G32" i="38"/>
  <c r="C32" i="38"/>
  <c r="D32" i="38"/>
  <c r="E32" i="38"/>
  <c r="F32" i="38"/>
  <c r="E14" i="36" l="1"/>
  <c r="C4" i="43"/>
  <c r="B1" i="43" s="1"/>
  <c r="C4" i="40"/>
  <c r="B1" i="40" s="1"/>
  <c r="C4" i="42"/>
  <c r="B1" i="42" s="1"/>
  <c r="C4" i="44"/>
  <c r="B1" i="44" s="1"/>
  <c r="N42" i="38"/>
  <c r="N44" i="38"/>
  <c r="N46" i="38"/>
  <c r="N48" i="38"/>
  <c r="N50" i="38"/>
  <c r="N52" i="38"/>
  <c r="N56" i="38"/>
  <c r="N58" i="38"/>
  <c r="N60" i="38"/>
  <c r="N54" i="38"/>
  <c r="E16" i="47"/>
  <c r="D16" i="47" s="1"/>
  <c r="E18" i="47"/>
  <c r="D18" i="47" s="1"/>
  <c r="C14" i="45"/>
  <c r="H14" i="45" s="1"/>
  <c r="C16" i="45"/>
  <c r="H16" i="45" s="1"/>
  <c r="E17" i="47"/>
  <c r="D17" i="47" s="1"/>
  <c r="E19" i="47"/>
  <c r="D19" i="47" s="1"/>
  <c r="C15" i="45"/>
  <c r="H15" i="45" s="1"/>
  <c r="N43" i="38"/>
  <c r="N45" i="38"/>
  <c r="N47" i="38"/>
  <c r="N49" i="38"/>
  <c r="N51" i="38"/>
  <c r="F43" i="45"/>
  <c r="N53" i="38"/>
  <c r="N55" i="38"/>
  <c r="N57" i="38"/>
  <c r="N59" i="38"/>
  <c r="C34" i="44"/>
  <c r="M51" i="38"/>
  <c r="J18" i="41"/>
  <c r="U32" i="38"/>
  <c r="AA13" i="38"/>
  <c r="AA30" i="38"/>
  <c r="AA28" i="38"/>
  <c r="AA26" i="38"/>
  <c r="AA24" i="38"/>
  <c r="AA22" i="38"/>
  <c r="AA20" i="38"/>
  <c r="AA18" i="38"/>
  <c r="AA16" i="38"/>
  <c r="AA14" i="38"/>
  <c r="W32" i="38"/>
  <c r="Y32" i="38"/>
  <c r="T32" i="38"/>
  <c r="V32" i="38"/>
  <c r="X32" i="38"/>
  <c r="Z32" i="38"/>
  <c r="AA33" i="38"/>
  <c r="S32" i="38"/>
  <c r="AA31" i="38"/>
  <c r="AA29" i="38"/>
  <c r="AA27" i="38"/>
  <c r="AA25" i="38"/>
  <c r="AA23" i="38"/>
  <c r="AA21" i="38"/>
  <c r="AA19" i="38"/>
  <c r="AA17" i="38"/>
  <c r="AA15" i="38"/>
  <c r="AU32" i="38"/>
  <c r="H44" i="45" l="1"/>
  <c r="F44" i="45"/>
  <c r="E37" i="36"/>
  <c r="E20" i="47"/>
  <c r="D20" i="47" s="1"/>
  <c r="E16" i="45"/>
  <c r="E4" i="45"/>
  <c r="B1" i="45" s="1"/>
  <c r="E15" i="45"/>
  <c r="C35" i="44"/>
  <c r="E35" i="44"/>
  <c r="E14" i="45"/>
  <c r="AA32" i="38"/>
  <c r="D121" i="38" l="1"/>
  <c r="D127" i="38"/>
  <c r="D144" i="38"/>
  <c r="E14" i="14"/>
  <c r="E15" i="14" s="1"/>
  <c r="AB32" i="46"/>
  <c r="AC32" i="46" s="1"/>
  <c r="AD32" i="46" s="1"/>
  <c r="H18" i="39"/>
  <c r="G18" i="39"/>
  <c r="E18" i="39"/>
  <c r="D18" i="39"/>
  <c r="C18" i="39"/>
  <c r="S23" i="34"/>
  <c r="AE23" i="34" s="1"/>
  <c r="S22" i="34"/>
  <c r="AE22" i="34" s="1"/>
  <c r="N43" i="34"/>
  <c r="N42" i="34"/>
  <c r="H43" i="34"/>
  <c r="H42" i="34"/>
  <c r="I42" i="34" s="1"/>
  <c r="G43" i="34"/>
  <c r="G42" i="34"/>
  <c r="E43" i="34"/>
  <c r="M43" i="34" s="1"/>
  <c r="O43" i="34" s="1"/>
  <c r="E42" i="34"/>
  <c r="M42" i="34" s="1"/>
  <c r="O42" i="34" s="1"/>
  <c r="N40" i="34"/>
  <c r="N39" i="34"/>
  <c r="E32" i="34"/>
  <c r="H32" i="34" s="1"/>
  <c r="I32" i="34" s="1"/>
  <c r="N37" i="34"/>
  <c r="N44" i="34" s="1"/>
  <c r="N36" i="34"/>
  <c r="N35" i="34"/>
  <c r="N34" i="34"/>
  <c r="H34" i="34"/>
  <c r="G37" i="34"/>
  <c r="G36" i="34"/>
  <c r="G35" i="34"/>
  <c r="G34" i="34"/>
  <c r="E37" i="34"/>
  <c r="M37" i="34" s="1"/>
  <c r="E36" i="34"/>
  <c r="M36" i="34" s="1"/>
  <c r="E35" i="34"/>
  <c r="M35" i="34" s="1"/>
  <c r="E34" i="34"/>
  <c r="M34" i="34" s="1"/>
  <c r="N32" i="34"/>
  <c r="N31" i="34"/>
  <c r="N30" i="34"/>
  <c r="N29" i="34"/>
  <c r="H29" i="34"/>
  <c r="H31" i="34"/>
  <c r="H30" i="34"/>
  <c r="G31" i="34"/>
  <c r="G30" i="34"/>
  <c r="G29" i="34"/>
  <c r="N24" i="34"/>
  <c r="N25" i="34" s="1"/>
  <c r="N23" i="34"/>
  <c r="N22" i="34"/>
  <c r="Q24" i="39"/>
  <c r="Q17" i="39"/>
  <c r="G24" i="34"/>
  <c r="G23" i="34"/>
  <c r="G22" i="34"/>
  <c r="E24" i="34"/>
  <c r="E23" i="34"/>
  <c r="E22" i="34"/>
  <c r="N17" i="34"/>
  <c r="N19" i="34" s="1"/>
  <c r="L18" i="39" l="1"/>
  <c r="I43" i="34"/>
  <c r="G44" i="34"/>
  <c r="I30" i="34"/>
  <c r="E25" i="34"/>
  <c r="N45" i="34"/>
  <c r="O16" i="34"/>
  <c r="M45" i="48" s="1"/>
  <c r="N45" i="48" s="1"/>
  <c r="O45" i="48" s="1"/>
  <c r="I31" i="34"/>
  <c r="D145" i="38"/>
  <c r="I34" i="34"/>
  <c r="R24" i="39"/>
  <c r="S24" i="39" s="1"/>
  <c r="O34" i="34"/>
  <c r="O37" i="34"/>
  <c r="O36" i="34"/>
  <c r="Q28" i="39" s="1"/>
  <c r="R28" i="39" s="1"/>
  <c r="S28" i="39" s="1"/>
  <c r="O35" i="34"/>
  <c r="Q27" i="39" s="1"/>
  <c r="R27" i="39" s="1"/>
  <c r="S27" i="39" s="1"/>
  <c r="I29" i="34"/>
  <c r="M17" i="34"/>
  <c r="Q29" i="39" l="1"/>
  <c r="R29" i="39" s="1"/>
  <c r="S29" i="39" s="1"/>
  <c r="U37" i="34"/>
  <c r="Q20" i="39"/>
  <c r="R20" i="39" s="1"/>
  <c r="S20" i="39" s="1"/>
  <c r="O17" i="34"/>
  <c r="O19" i="34" s="1"/>
  <c r="M19" i="34"/>
  <c r="U16" i="34"/>
  <c r="H40" i="34" l="1"/>
  <c r="I40" i="34" s="1"/>
  <c r="E40" i="34"/>
  <c r="M40" i="34" s="1"/>
  <c r="O40" i="34" s="1"/>
  <c r="U40" i="34" l="1"/>
  <c r="AD40" i="34"/>
  <c r="AK43" i="34"/>
  <c r="AB40" i="34"/>
  <c r="G12" i="41"/>
  <c r="F27" i="36"/>
  <c r="G27" i="36" s="1"/>
  <c r="H27" i="36" s="1"/>
  <c r="I27" i="36" s="1"/>
  <c r="H12" i="41" l="1"/>
  <c r="I12" i="41" s="1"/>
  <c r="Y13" i="34"/>
  <c r="Y16" i="34"/>
  <c r="Y17" i="34"/>
  <c r="Y22" i="34"/>
  <c r="Y23" i="34"/>
  <c r="Y24" i="34"/>
  <c r="Y29" i="34"/>
  <c r="Y30" i="34"/>
  <c r="Y31" i="34"/>
  <c r="Y32" i="34"/>
  <c r="Y34" i="34"/>
  <c r="Y35" i="34"/>
  <c r="Y36" i="34"/>
  <c r="Y37" i="34"/>
  <c r="Y39" i="34"/>
  <c r="Y42" i="34"/>
  <c r="Y43" i="34"/>
  <c r="X13" i="34"/>
  <c r="X16" i="34"/>
  <c r="X17" i="34"/>
  <c r="X22" i="34"/>
  <c r="X23" i="34"/>
  <c r="X24" i="34"/>
  <c r="X29" i="34"/>
  <c r="X30" i="34"/>
  <c r="X31" i="34"/>
  <c r="X32" i="34"/>
  <c r="X34" i="34"/>
  <c r="X35" i="34"/>
  <c r="X36" i="34"/>
  <c r="X37" i="34"/>
  <c r="X39" i="34"/>
  <c r="X42" i="34"/>
  <c r="X43" i="34"/>
  <c r="AP140" i="38"/>
  <c r="AP138" i="38"/>
  <c r="AP133" i="38"/>
  <c r="AP125" i="38"/>
  <c r="AP120" i="38"/>
  <c r="AO142" i="38"/>
  <c r="AO138" i="38"/>
  <c r="AO136" i="38"/>
  <c r="AO133" i="38"/>
  <c r="AO125" i="38"/>
  <c r="AP142" i="38"/>
  <c r="AO140" i="38"/>
  <c r="AP136" i="38"/>
  <c r="Z13" i="34" l="1"/>
  <c r="X44" i="34"/>
  <c r="Y44" i="34"/>
  <c r="C121" i="38"/>
  <c r="C144" i="38"/>
  <c r="AP126" i="38"/>
  <c r="AP132" i="38"/>
  <c r="AP134" i="38"/>
  <c r="AP137" i="38"/>
  <c r="AP139" i="38"/>
  <c r="AP143" i="38"/>
  <c r="AO132" i="38"/>
  <c r="AO134" i="38"/>
  <c r="AO137" i="38"/>
  <c r="AO139" i="38"/>
  <c r="AO143" i="38"/>
  <c r="AO120" i="38"/>
  <c r="C127" i="38"/>
  <c r="AJ16" i="34"/>
  <c r="AJ17" i="34"/>
  <c r="AJ22" i="34"/>
  <c r="AJ23" i="34"/>
  <c r="AJ30" i="34"/>
  <c r="AL32" i="34"/>
  <c r="AJ34" i="34"/>
  <c r="AJ35" i="34"/>
  <c r="AM35" i="34" s="1"/>
  <c r="AL36" i="34"/>
  <c r="AL37" i="34"/>
  <c r="AJ42" i="34"/>
  <c r="AL43" i="34"/>
  <c r="AO126" i="38"/>
  <c r="AK16" i="34"/>
  <c r="AJ24" i="34"/>
  <c r="AJ31" i="34"/>
  <c r="AK36" i="34"/>
  <c r="AO116" i="38"/>
  <c r="AO119" i="38"/>
  <c r="AP116" i="38"/>
  <c r="AP119" i="38"/>
  <c r="AP121" i="38" s="1"/>
  <c r="AO124" i="38"/>
  <c r="AO131" i="38"/>
  <c r="AP124" i="38"/>
  <c r="AP131" i="38"/>
  <c r="C145" i="38" l="1"/>
  <c r="AJ25" i="34"/>
  <c r="AJ36" i="34"/>
  <c r="AM36" i="34" s="1"/>
  <c r="AJ43" i="34"/>
  <c r="AM43" i="34" s="1"/>
  <c r="AJ37" i="34"/>
  <c r="AJ32" i="34"/>
  <c r="AJ29" i="34"/>
  <c r="AM16" i="34"/>
  <c r="AJ19" i="34"/>
  <c r="AL16" i="34"/>
  <c r="AJ39" i="34"/>
  <c r="AP144" i="38"/>
  <c r="AO144" i="38"/>
  <c r="AO121" i="38"/>
  <c r="AP127" i="38"/>
  <c r="AO127" i="38"/>
  <c r="AJ44" i="34" l="1"/>
  <c r="AJ45" i="34" s="1"/>
  <c r="AP145" i="38"/>
  <c r="AO145" i="38"/>
  <c r="L35" i="15" l="1"/>
  <c r="L36" i="15" s="1"/>
  <c r="L37" i="15"/>
  <c r="F35" i="15"/>
  <c r="F36" i="15" s="1"/>
  <c r="F38" i="15" s="1"/>
  <c r="I22" i="15"/>
  <c r="I21" i="15"/>
  <c r="I20" i="15"/>
  <c r="G23" i="15"/>
  <c r="G24" i="15" s="1"/>
  <c r="H23" i="15"/>
  <c r="H24" i="15" s="1"/>
  <c r="N22" i="15"/>
  <c r="N21" i="15"/>
  <c r="N20" i="15"/>
  <c r="N17" i="15"/>
  <c r="O21" i="15"/>
  <c r="F23" i="15"/>
  <c r="F24" i="15" s="1"/>
  <c r="J23" i="15"/>
  <c r="J24" i="15" s="1"/>
  <c r="K23" i="15"/>
  <c r="K24" i="15" s="1"/>
  <c r="L23" i="15"/>
  <c r="L24" i="15" s="1"/>
  <c r="M23" i="15"/>
  <c r="M24" i="15" s="1"/>
  <c r="I18" i="15" l="1"/>
  <c r="L38" i="15"/>
  <c r="N18" i="15"/>
  <c r="O22" i="15"/>
  <c r="I23" i="15"/>
  <c r="N23" i="15"/>
  <c r="AO20" i="15"/>
  <c r="AM20" i="15"/>
  <c r="AP20" i="15"/>
  <c r="AN20" i="15"/>
  <c r="AO22" i="15"/>
  <c r="AM22" i="15"/>
  <c r="AP22" i="15"/>
  <c r="AN22" i="15"/>
  <c r="O20" i="15"/>
  <c r="AO21" i="15"/>
  <c r="AM21" i="15"/>
  <c r="AP21" i="15"/>
  <c r="AN21" i="15"/>
  <c r="AP37" i="15"/>
  <c r="AN37" i="15"/>
  <c r="Y37" i="15" s="1"/>
  <c r="AO37" i="15"/>
  <c r="AO35" i="15"/>
  <c r="AP35" i="15"/>
  <c r="AN35" i="15"/>
  <c r="Y35" i="15" s="1"/>
  <c r="AP34" i="15"/>
  <c r="AN34" i="15"/>
  <c r="Y34" i="15" s="1"/>
  <c r="AO34" i="15"/>
  <c r="M37" i="15"/>
  <c r="AK37" i="15"/>
  <c r="AI37" i="15"/>
  <c r="AJ37" i="15"/>
  <c r="AH37" i="15"/>
  <c r="S37" i="15" s="1"/>
  <c r="AK34" i="15"/>
  <c r="AI34" i="15"/>
  <c r="AJ34" i="15"/>
  <c r="AH34" i="15"/>
  <c r="S34" i="15" s="1"/>
  <c r="M35" i="15"/>
  <c r="M36" i="15" s="1"/>
  <c r="AK35" i="15"/>
  <c r="AI35" i="15"/>
  <c r="AJ35" i="15"/>
  <c r="AH35" i="15"/>
  <c r="S35" i="15" s="1"/>
  <c r="AJ22" i="15"/>
  <c r="AH22" i="15"/>
  <c r="AI22" i="15"/>
  <c r="AK22" i="15"/>
  <c r="AJ21" i="15"/>
  <c r="AH21" i="15"/>
  <c r="AI21" i="15"/>
  <c r="AK21" i="15"/>
  <c r="AJ20" i="15"/>
  <c r="AH20" i="15"/>
  <c r="AK20" i="15"/>
  <c r="AI20" i="15"/>
  <c r="AK16" i="15"/>
  <c r="O17" i="15"/>
  <c r="AP17" i="15"/>
  <c r="AN17" i="15"/>
  <c r="AO17" i="15"/>
  <c r="AM17" i="15"/>
  <c r="Y17" i="15" s="1"/>
  <c r="AK17" i="15"/>
  <c r="AI17" i="15"/>
  <c r="AJ17" i="15"/>
  <c r="AH17" i="15"/>
  <c r="S17" i="15" s="1"/>
  <c r="AP16" i="15"/>
  <c r="AM16" i="15"/>
  <c r="AH16" i="15"/>
  <c r="R17" i="39"/>
  <c r="S17" i="39" s="1"/>
  <c r="Z37" i="15" l="1"/>
  <c r="Z34" i="15"/>
  <c r="T35" i="15"/>
  <c r="Z17" i="15"/>
  <c r="T34" i="15"/>
  <c r="T37" i="15"/>
  <c r="T17" i="15"/>
  <c r="T16" i="15"/>
  <c r="I24" i="15"/>
  <c r="S16" i="15"/>
  <c r="O18" i="15"/>
  <c r="M38" i="15"/>
  <c r="O23" i="15"/>
  <c r="N24" i="15"/>
  <c r="Y16" i="15"/>
  <c r="Z16" i="15"/>
  <c r="S21" i="15"/>
  <c r="Y21" i="15"/>
  <c r="Y22" i="15"/>
  <c r="Y20" i="15"/>
  <c r="Z21" i="15"/>
  <c r="Z22" i="15"/>
  <c r="Z20" i="15"/>
  <c r="Z35" i="15"/>
  <c r="S22" i="15"/>
  <c r="S20" i="15"/>
  <c r="T22" i="15"/>
  <c r="T21" i="15"/>
  <c r="T20" i="15"/>
  <c r="O24" i="15" l="1"/>
  <c r="E23" i="15"/>
  <c r="E24" i="15" s="1"/>
  <c r="AB31" i="39" l="1"/>
  <c r="Y31" i="39"/>
  <c r="V31" i="39"/>
  <c r="Z31" i="39"/>
  <c r="Z29" i="39"/>
  <c r="Y29" i="39"/>
  <c r="X29" i="39"/>
  <c r="V29" i="39"/>
  <c r="W29" i="39"/>
  <c r="Z28" i="39"/>
  <c r="Y28" i="39"/>
  <c r="X28" i="39"/>
  <c r="V28" i="39"/>
  <c r="W28" i="39"/>
  <c r="Y27" i="39"/>
  <c r="W27" i="39"/>
  <c r="AB24" i="39"/>
  <c r="Y24" i="39"/>
  <c r="W24" i="39"/>
  <c r="AB23" i="39"/>
  <c r="Z23" i="39"/>
  <c r="Y23" i="39"/>
  <c r="X23" i="39"/>
  <c r="V23" i="39"/>
  <c r="W23" i="39"/>
  <c r="AB20" i="39"/>
  <c r="Y20" i="39"/>
  <c r="W20" i="39"/>
  <c r="AB17" i="39"/>
  <c r="Z17" i="39"/>
  <c r="Y17" i="39"/>
  <c r="X17" i="39"/>
  <c r="V17" i="39"/>
  <c r="W17" i="39"/>
  <c r="AB16" i="39"/>
  <c r="Y16" i="39"/>
  <c r="F4" i="39"/>
  <c r="B1" i="39" s="1"/>
  <c r="O28" i="39" l="1"/>
  <c r="O23" i="39"/>
  <c r="O29" i="39"/>
  <c r="O16" i="39"/>
  <c r="O17" i="39"/>
  <c r="V27" i="39"/>
  <c r="O27" i="39" s="1"/>
  <c r="X27" i="39"/>
  <c r="Z27" i="39"/>
  <c r="AA27" i="39" s="1"/>
  <c r="AA29" i="39"/>
  <c r="P29" i="39" s="1"/>
  <c r="AA28" i="39"/>
  <c r="P28" i="39" s="1"/>
  <c r="AA23" i="39"/>
  <c r="P23" i="39" s="1"/>
  <c r="AA17" i="39"/>
  <c r="P17" i="39" s="1"/>
  <c r="AA31" i="39"/>
  <c r="X16" i="39"/>
  <c r="Z16" i="39"/>
  <c r="AA16" i="39" s="1"/>
  <c r="V20" i="39"/>
  <c r="O20" i="39" s="1"/>
  <c r="X20" i="39"/>
  <c r="Z20" i="39"/>
  <c r="AA20" i="39" s="1"/>
  <c r="V24" i="39"/>
  <c r="O24" i="39" s="1"/>
  <c r="X24" i="39"/>
  <c r="Z24" i="39"/>
  <c r="AA24" i="39" s="1"/>
  <c r="W31" i="39"/>
  <c r="O31" i="39" s="1"/>
  <c r="X31" i="39"/>
  <c r="P31" i="39" s="1"/>
  <c r="P27" i="39" l="1"/>
  <c r="P24" i="39"/>
  <c r="P20" i="39"/>
  <c r="P16" i="39"/>
  <c r="E26" i="36" l="1"/>
  <c r="AB43" i="34" l="1"/>
  <c r="AB36" i="34"/>
  <c r="D84" i="38"/>
  <c r="D78" i="38"/>
  <c r="AO82" i="38" l="1"/>
  <c r="AO83" i="38"/>
  <c r="AO89" i="38"/>
  <c r="AO90" i="38"/>
  <c r="AO94" i="38"/>
  <c r="AO96" i="38"/>
  <c r="AO101" i="38"/>
  <c r="AC32" i="34"/>
  <c r="AC36" i="34"/>
  <c r="AC37" i="34"/>
  <c r="AC43" i="34"/>
  <c r="AP89" i="38"/>
  <c r="AO91" i="38"/>
  <c r="AC16" i="34"/>
  <c r="AB16" i="34"/>
  <c r="D103" i="38"/>
  <c r="AO93" i="38"/>
  <c r="AO95" i="38"/>
  <c r="AO98" i="38"/>
  <c r="AO102" i="38"/>
  <c r="AO88" i="38"/>
  <c r="AO81" i="38"/>
  <c r="AP88" i="38"/>
  <c r="AO103" i="38" l="1"/>
  <c r="AO84" i="38"/>
  <c r="D104" i="38"/>
  <c r="AP73" i="38"/>
  <c r="AP102" i="38"/>
  <c r="AP101" i="38"/>
  <c r="AP98" i="38"/>
  <c r="AP96" i="38"/>
  <c r="AP95" i="38"/>
  <c r="AP94" i="38"/>
  <c r="AP93" i="38"/>
  <c r="AP91" i="38"/>
  <c r="AP90" i="38"/>
  <c r="AP82" i="38"/>
  <c r="AP83" i="38"/>
  <c r="D2" i="38"/>
  <c r="E15" i="36"/>
  <c r="E16" i="36"/>
  <c r="E17" i="36"/>
  <c r="E19" i="36"/>
  <c r="E20" i="36"/>
  <c r="E21" i="36"/>
  <c r="E22" i="36"/>
  <c r="E23" i="36"/>
  <c r="E24" i="36"/>
  <c r="M22" i="34"/>
  <c r="H22" i="34"/>
  <c r="M23" i="34"/>
  <c r="O23" i="34" s="1"/>
  <c r="U23" i="34" s="1"/>
  <c r="H23" i="34"/>
  <c r="M24" i="34"/>
  <c r="H24" i="34"/>
  <c r="AL29" i="34"/>
  <c r="S29" i="34"/>
  <c r="AE29" i="34" s="1"/>
  <c r="E30" i="34"/>
  <c r="AL30" i="34"/>
  <c r="M30" i="34"/>
  <c r="S30" i="34"/>
  <c r="E31" i="34"/>
  <c r="M31" i="34" s="1"/>
  <c r="AL31" i="34"/>
  <c r="S31" i="34"/>
  <c r="M32" i="34"/>
  <c r="S32" i="34"/>
  <c r="S34" i="34"/>
  <c r="H35" i="34"/>
  <c r="AL35" i="34"/>
  <c r="S35" i="34"/>
  <c r="H36" i="34"/>
  <c r="I36" i="34" s="1"/>
  <c r="L36" i="34"/>
  <c r="S36" i="34"/>
  <c r="H37" i="34"/>
  <c r="S37" i="34"/>
  <c r="E39" i="34"/>
  <c r="M39" i="34" s="1"/>
  <c r="O39" i="34" s="1"/>
  <c r="H39" i="34"/>
  <c r="Y13" i="13"/>
  <c r="S13" i="13"/>
  <c r="T13" i="13"/>
  <c r="U13" i="13"/>
  <c r="V13" i="13"/>
  <c r="W13" i="13"/>
  <c r="X13" i="13"/>
  <c r="Y14" i="13"/>
  <c r="S14" i="13"/>
  <c r="T14" i="13"/>
  <c r="U14" i="13"/>
  <c r="V14" i="13"/>
  <c r="W14" i="13"/>
  <c r="X14" i="13"/>
  <c r="S18" i="13"/>
  <c r="T18" i="13"/>
  <c r="U18" i="13"/>
  <c r="V18" i="13"/>
  <c r="W18" i="13"/>
  <c r="X18" i="13"/>
  <c r="Y18" i="13"/>
  <c r="S19" i="13"/>
  <c r="T19" i="13"/>
  <c r="U19" i="13"/>
  <c r="V19" i="13"/>
  <c r="W19" i="13"/>
  <c r="X19" i="13"/>
  <c r="Y19" i="13"/>
  <c r="E4" i="14"/>
  <c r="B1" i="14" s="1"/>
  <c r="B1" i="15"/>
  <c r="AO77" i="38"/>
  <c r="AO73" i="38"/>
  <c r="AO76" i="38"/>
  <c r="AP76" i="38"/>
  <c r="AP81" i="38"/>
  <c r="Z29" i="34"/>
  <c r="I37" i="34" l="1"/>
  <c r="H44" i="34"/>
  <c r="AE34" i="34"/>
  <c r="U34" i="34"/>
  <c r="U35" i="15"/>
  <c r="V35" i="15" s="1"/>
  <c r="AE32" i="34"/>
  <c r="U17" i="15"/>
  <c r="V17" i="15" s="1"/>
  <c r="AE31" i="34"/>
  <c r="E44" i="34"/>
  <c r="E45" i="34" s="1"/>
  <c r="AE30" i="34"/>
  <c r="H25" i="34"/>
  <c r="O24" i="34"/>
  <c r="AM24" i="34" s="1"/>
  <c r="M25" i="34"/>
  <c r="AO78" i="38"/>
  <c r="AO104" i="38" s="1"/>
  <c r="AM39" i="34"/>
  <c r="M38" i="48"/>
  <c r="O38" i="48" s="1"/>
  <c r="B4" i="40"/>
  <c r="C4" i="48"/>
  <c r="C4" i="46"/>
  <c r="B3" i="47"/>
  <c r="B4" i="43"/>
  <c r="AA35" i="15"/>
  <c r="AB35" i="15" s="1"/>
  <c r="AC35" i="15" s="1"/>
  <c r="AA17" i="15"/>
  <c r="AB17" i="15" s="1"/>
  <c r="AC17" i="15" s="1"/>
  <c r="B4" i="44"/>
  <c r="C4" i="45"/>
  <c r="B4" i="42"/>
  <c r="AC39" i="34"/>
  <c r="AL39" i="34"/>
  <c r="D56" i="36"/>
  <c r="E56" i="36" s="1"/>
  <c r="F56" i="36" s="1"/>
  <c r="G56" i="36" s="1"/>
  <c r="C4" i="41"/>
  <c r="AB39" i="34"/>
  <c r="I39" i="34"/>
  <c r="AK39" i="34" s="1"/>
  <c r="I35" i="34"/>
  <c r="M29" i="34"/>
  <c r="M44" i="34" s="1"/>
  <c r="I22" i="34"/>
  <c r="Q16" i="39" s="1"/>
  <c r="R16" i="39" s="1"/>
  <c r="S16" i="39" s="1"/>
  <c r="O22" i="34"/>
  <c r="AM22" i="34" s="1"/>
  <c r="AL22" i="34"/>
  <c r="AC22" i="34"/>
  <c r="AC30" i="34"/>
  <c r="AC29" i="34"/>
  <c r="AC35" i="34"/>
  <c r="AC31" i="34"/>
  <c r="AP84" i="38"/>
  <c r="AC42" i="34"/>
  <c r="AL42" i="34"/>
  <c r="AB42" i="34"/>
  <c r="AK42" i="34"/>
  <c r="AC34" i="34"/>
  <c r="AL34" i="34"/>
  <c r="O31" i="34"/>
  <c r="O30" i="34"/>
  <c r="AA34" i="15" s="1"/>
  <c r="AB34" i="15" s="1"/>
  <c r="AB32" i="34"/>
  <c r="AK32" i="34"/>
  <c r="AM31" i="34"/>
  <c r="AB31" i="34"/>
  <c r="AK31" i="34"/>
  <c r="AB30" i="34"/>
  <c r="AK30" i="34"/>
  <c r="AC24" i="34"/>
  <c r="AL24" i="34"/>
  <c r="AL23" i="34"/>
  <c r="AC23" i="34"/>
  <c r="AC17" i="34"/>
  <c r="AL17" i="34"/>
  <c r="AC13" i="34"/>
  <c r="AB13" i="34"/>
  <c r="D58" i="36"/>
  <c r="E58" i="36" s="1"/>
  <c r="F58" i="36" s="1"/>
  <c r="G58" i="36" s="1"/>
  <c r="F20" i="36"/>
  <c r="G20" i="36" s="1"/>
  <c r="H20" i="36" s="1"/>
  <c r="I20" i="36" s="1"/>
  <c r="I24" i="34"/>
  <c r="I23" i="34"/>
  <c r="Q23" i="39" s="1"/>
  <c r="R23" i="39" s="1"/>
  <c r="S23" i="39" s="1"/>
  <c r="AM34" i="34"/>
  <c r="AM23" i="34"/>
  <c r="AM42" i="34"/>
  <c r="O32" i="34"/>
  <c r="U34" i="15" s="1"/>
  <c r="V34" i="15" s="1"/>
  <c r="W34" i="15" s="1"/>
  <c r="W17" i="15"/>
  <c r="AK19" i="34"/>
  <c r="W35" i="15"/>
  <c r="AL19" i="34"/>
  <c r="AL25" i="34"/>
  <c r="F22" i="36"/>
  <c r="G22" i="36" s="1"/>
  <c r="H22" i="36" s="1"/>
  <c r="I22" i="36" s="1"/>
  <c r="AP103" i="38"/>
  <c r="C4" i="13"/>
  <c r="C4" i="39"/>
  <c r="C3" i="34"/>
  <c r="C3" i="36"/>
  <c r="Z36" i="34"/>
  <c r="AD36" i="34" s="1"/>
  <c r="Z30" i="34"/>
  <c r="AD30" i="34" s="1"/>
  <c r="Y25" i="34"/>
  <c r="Z22" i="34"/>
  <c r="Z42" i="34"/>
  <c r="AD42" i="34" s="1"/>
  <c r="X19" i="34"/>
  <c r="Z37" i="34"/>
  <c r="AD37" i="34" s="1"/>
  <c r="Z35" i="34"/>
  <c r="AD35" i="34" s="1"/>
  <c r="Z34" i="34"/>
  <c r="AD34" i="34" s="1"/>
  <c r="Z31" i="34"/>
  <c r="Z24" i="34"/>
  <c r="C4" i="15"/>
  <c r="C4" i="14"/>
  <c r="Z23" i="34"/>
  <c r="AD23" i="34" s="1"/>
  <c r="Z43" i="34"/>
  <c r="AD43" i="34" s="1"/>
  <c r="Z39" i="34"/>
  <c r="AD39" i="34" s="1"/>
  <c r="Z32" i="34"/>
  <c r="Z16" i="34"/>
  <c r="AD16" i="34" s="1"/>
  <c r="X25" i="34"/>
  <c r="AD22" i="34" l="1"/>
  <c r="AD32" i="34"/>
  <c r="U32" i="34"/>
  <c r="U16" i="15"/>
  <c r="V16" i="15" s="1"/>
  <c r="W16" i="15" s="1"/>
  <c r="U31" i="34"/>
  <c r="U30" i="34"/>
  <c r="D51" i="36" s="1"/>
  <c r="M45" i="34"/>
  <c r="I25" i="34"/>
  <c r="F23" i="36"/>
  <c r="G23" i="36" s="1"/>
  <c r="H23" i="36" s="1"/>
  <c r="I23" i="36" s="1"/>
  <c r="U22" i="34"/>
  <c r="AD24" i="34"/>
  <c r="D37" i="36"/>
  <c r="F37" i="36" s="1"/>
  <c r="G37" i="36" s="1"/>
  <c r="H37" i="36" s="1"/>
  <c r="O25" i="34"/>
  <c r="X45" i="34"/>
  <c r="AD31" i="34"/>
  <c r="I44" i="34"/>
  <c r="AK35" i="34"/>
  <c r="AB35" i="34"/>
  <c r="AC44" i="34"/>
  <c r="Z44" i="34"/>
  <c r="AL44" i="34"/>
  <c r="F17" i="36"/>
  <c r="G17" i="36" s="1"/>
  <c r="H17" i="36" s="1"/>
  <c r="I17" i="36" s="1"/>
  <c r="F16" i="36"/>
  <c r="G16" i="36" s="1"/>
  <c r="H16" i="36" s="1"/>
  <c r="I16" i="36" s="1"/>
  <c r="F15" i="36"/>
  <c r="G15" i="36" s="1"/>
  <c r="H15" i="36" s="1"/>
  <c r="I15" i="36" s="1"/>
  <c r="O29" i="34"/>
  <c r="D53" i="36"/>
  <c r="AC34" i="15"/>
  <c r="F26" i="36"/>
  <c r="AM17" i="34"/>
  <c r="F19" i="36"/>
  <c r="G19" i="36" s="1"/>
  <c r="H19" i="36" s="1"/>
  <c r="I19" i="36" s="1"/>
  <c r="AM37" i="34"/>
  <c r="AK37" i="34"/>
  <c r="AB37" i="34"/>
  <c r="AB34" i="34"/>
  <c r="AK34" i="34"/>
  <c r="AM30" i="34"/>
  <c r="AM32" i="34"/>
  <c r="AB29" i="34"/>
  <c r="AK29" i="34"/>
  <c r="F24" i="36"/>
  <c r="AB24" i="34"/>
  <c r="AK24" i="34"/>
  <c r="AK23" i="34"/>
  <c r="AB22" i="34"/>
  <c r="AK22" i="34"/>
  <c r="AB19" i="34"/>
  <c r="AB17" i="34"/>
  <c r="AK17" i="34"/>
  <c r="AB23" i="34"/>
  <c r="AL45" i="34"/>
  <c r="AC25" i="34"/>
  <c r="F21" i="36"/>
  <c r="Z25" i="34"/>
  <c r="AP77" i="38"/>
  <c r="AP78" i="38" s="1"/>
  <c r="AP104" i="38" s="1"/>
  <c r="AD13" i="34"/>
  <c r="AA16" i="15" l="1"/>
  <c r="AB16" i="15" s="1"/>
  <c r="AC16" i="15" s="1"/>
  <c r="U29" i="34"/>
  <c r="D49" i="36" s="1"/>
  <c r="O44" i="34"/>
  <c r="AM44" i="34" s="1"/>
  <c r="I45" i="34"/>
  <c r="AK45" i="34" s="1"/>
  <c r="AM25" i="34"/>
  <c r="AD25" i="34"/>
  <c r="AD29" i="34"/>
  <c r="AM29" i="34"/>
  <c r="F14" i="36"/>
  <c r="G14" i="36" s="1"/>
  <c r="D54" i="36"/>
  <c r="E54" i="36" s="1"/>
  <c r="F54" i="36" s="1"/>
  <c r="G54" i="36" s="1"/>
  <c r="I37" i="36"/>
  <c r="AK44" i="34"/>
  <c r="AB25" i="34"/>
  <c r="AK25" i="34"/>
  <c r="AB44" i="34"/>
  <c r="G21" i="36"/>
  <c r="H21" i="36" s="1"/>
  <c r="I21" i="36" s="1"/>
  <c r="Z17" i="34"/>
  <c r="Y19" i="34"/>
  <c r="Y45" i="34" s="1"/>
  <c r="E53" i="36"/>
  <c r="F53" i="36" s="1"/>
  <c r="G53" i="36" s="1"/>
  <c r="O45" i="34" l="1"/>
  <c r="AM45" i="34" s="1"/>
  <c r="H14" i="36"/>
  <c r="I14" i="36" s="1"/>
  <c r="AD44" i="34"/>
  <c r="AM19" i="34"/>
  <c r="E49" i="36"/>
  <c r="F49" i="36" s="1"/>
  <c r="G49" i="36" s="1"/>
  <c r="E51" i="36"/>
  <c r="F51" i="36" s="1"/>
  <c r="G51" i="36" s="1"/>
  <c r="AB45" i="34"/>
  <c r="AC45" i="34"/>
  <c r="AC19" i="34"/>
  <c r="Z19" i="34"/>
  <c r="Z45" i="34" s="1"/>
  <c r="AD17" i="34"/>
  <c r="G26" i="36"/>
  <c r="H26" i="36" s="1"/>
  <c r="I26" i="36" s="1"/>
  <c r="AD45" i="34" l="1"/>
  <c r="AD19" i="34"/>
  <c r="G24" i="36"/>
  <c r="H24" i="36" s="1"/>
  <c r="I24" i="36" s="1"/>
</calcChain>
</file>

<file path=xl/sharedStrings.xml><?xml version="1.0" encoding="utf-8"?>
<sst xmlns="http://schemas.openxmlformats.org/spreadsheetml/2006/main" count="1391" uniqueCount="469">
  <si>
    <t>Institution:</t>
  </si>
  <si>
    <t>Forecast</t>
  </si>
  <si>
    <t>Total</t>
  </si>
  <si>
    <t>(Calculated)</t>
  </si>
  <si>
    <t>Pre-clinical</t>
  </si>
  <si>
    <t>Pre-clinical Medicine</t>
  </si>
  <si>
    <t>Pre-clinical Dentistry</t>
  </si>
  <si>
    <t>Education</t>
  </si>
  <si>
    <t>BEd  Physical Education</t>
  </si>
  <si>
    <t>Taught Postgraduate</t>
  </si>
  <si>
    <t>Taught PG: UG fees</t>
  </si>
  <si>
    <t>Undergraduate</t>
  </si>
  <si>
    <t>Research Postgraduate</t>
  </si>
  <si>
    <t>Year of course</t>
  </si>
  <si>
    <t>2</t>
  </si>
  <si>
    <t>3</t>
  </si>
  <si>
    <t>4</t>
  </si>
  <si>
    <t>5</t>
  </si>
  <si>
    <t>FTE</t>
  </si>
  <si>
    <t>Primary</t>
  </si>
  <si>
    <t>Secondary</t>
  </si>
  <si>
    <t>BEd Music</t>
  </si>
  <si>
    <t>BEd Physical Education</t>
  </si>
  <si>
    <t>BEd Technology</t>
  </si>
  <si>
    <t xml:space="preserve">Combined Degrees in Education </t>
  </si>
  <si>
    <t>1</t>
  </si>
  <si>
    <t>Teaching Sector</t>
  </si>
  <si>
    <t>Headcount</t>
  </si>
  <si>
    <t>Year of Course</t>
  </si>
  <si>
    <t>Medicine</t>
  </si>
  <si>
    <t>Clinical</t>
  </si>
  <si>
    <t>Enter</t>
  </si>
  <si>
    <t>Part-time</t>
  </si>
  <si>
    <t>Clinical Medicine</t>
  </si>
  <si>
    <t>Clinical Dentistry</t>
  </si>
  <si>
    <t>Adult</t>
  </si>
  <si>
    <t>Three-year</t>
  </si>
  <si>
    <t>Conversion</t>
  </si>
  <si>
    <t>Graduate entry</t>
  </si>
  <si>
    <t>Mental Health</t>
  </si>
  <si>
    <t>Child Health</t>
  </si>
  <si>
    <t>Learning Disability</t>
  </si>
  <si>
    <t>Midwifery</t>
  </si>
  <si>
    <t>Full-time</t>
  </si>
  <si>
    <t>Aberdeen, University of</t>
  </si>
  <si>
    <t>Abertay Dundee, University of</t>
  </si>
  <si>
    <t>Dundee, University of</t>
  </si>
  <si>
    <t>Edinburgh, University of</t>
  </si>
  <si>
    <t>Glasgow Caledonian University</t>
  </si>
  <si>
    <t>Glasgow School of Art</t>
  </si>
  <si>
    <t>Glasgow, University of</t>
  </si>
  <si>
    <t>Heriot-Watt University</t>
  </si>
  <si>
    <t>Robert Gordon University</t>
  </si>
  <si>
    <t>St Andrews, University of</t>
  </si>
  <si>
    <t>Stirling, University of</t>
  </si>
  <si>
    <t>Strathclyde, University of</t>
  </si>
  <si>
    <t>Calculated</t>
  </si>
  <si>
    <t>Referenced</t>
  </si>
  <si>
    <t>Queen Margaret University, Edinburgh</t>
  </si>
  <si>
    <t>West of Scotland, University of the</t>
  </si>
  <si>
    <t>Check FTE is less than or equal to Headcount:</t>
  </si>
  <si>
    <t>Table 1</t>
  </si>
  <si>
    <t>(*) These totals should equal the corresponding course totals on Table 1</t>
  </si>
  <si>
    <t>Edinburgh Napier University</t>
  </si>
  <si>
    <t>(18)</t>
  </si>
  <si>
    <t>(19)</t>
  </si>
  <si>
    <t>Head-
count</t>
  </si>
  <si>
    <t>Total
funded
places</t>
  </si>
  <si>
    <t>Autumn
Count</t>
  </si>
  <si>
    <t>Year 0</t>
  </si>
  <si>
    <t>Year 1</t>
  </si>
  <si>
    <t>Year 2</t>
  </si>
  <si>
    <t>Year 3</t>
  </si>
  <si>
    <t>Year 4</t>
  </si>
  <si>
    <t>Year 5</t>
  </si>
  <si>
    <t>flag=1</t>
  </si>
  <si>
    <t>Warning messages</t>
  </si>
  <si>
    <t>Check for cells where only one of  FTE and headcount is non-zero:</t>
  </si>
  <si>
    <t>Students
eligible
for
funding</t>
  </si>
  <si>
    <t>Intake missing?</t>
  </si>
  <si>
    <t>Difference OK?</t>
  </si>
  <si>
    <t>Students Eligible for Funding</t>
  </si>
  <si>
    <t>Full-time and Sandwich (excluding short full-time)</t>
  </si>
  <si>
    <t>Part-time
(including short full-time)</t>
  </si>
  <si>
    <t>Autumn Count</t>
  </si>
  <si>
    <t>Other</t>
  </si>
  <si>
    <t>(20)</t>
  </si>
  <si>
    <t>(21)</t>
  </si>
  <si>
    <t>(22)</t>
  </si>
  <si>
    <t>Controlled Subject Areas</t>
  </si>
  <si>
    <t>Nursing and Midwifery</t>
  </si>
  <si>
    <t>Non-Controlled Subject Areas</t>
  </si>
  <si>
    <t>PGCE / PGDE Primary</t>
  </si>
  <si>
    <t>PGCE / PGDE Secondary</t>
  </si>
  <si>
    <t>Other subject areas</t>
  </si>
  <si>
    <t>Medicine and Dentistry</t>
  </si>
  <si>
    <t>STEM subject areas</t>
  </si>
  <si>
    <t>All Levels</t>
  </si>
  <si>
    <t>The cells with a white background are those in which figures can be entered.</t>
  </si>
  <si>
    <t>BEd Primary</t>
  </si>
  <si>
    <t>Enter /
Calculated</t>
  </si>
  <si>
    <t>Scottish
Govern-
ment
funded
places</t>
  </si>
  <si>
    <t>Fees-only students</t>
  </si>
  <si>
    <t>Percentage</t>
  </si>
  <si>
    <t>Highlands and Islands, University of the</t>
  </si>
  <si>
    <t>Open University in Scotland</t>
  </si>
  <si>
    <t>Royal Conservatoire of Scotland</t>
  </si>
  <si>
    <t>Check total</t>
  </si>
  <si>
    <t>Institution</t>
  </si>
  <si>
    <t>Clinical
medicine</t>
  </si>
  <si>
    <t>Clinical
dentistry</t>
  </si>
  <si>
    <t>BEd
Primary</t>
  </si>
  <si>
    <t>BEd
Music</t>
  </si>
  <si>
    <t>BEd PE</t>
  </si>
  <si>
    <t>BEd
Technology</t>
  </si>
  <si>
    <t>PGDE
Primary</t>
  </si>
  <si>
    <t>PGDE
Secondary</t>
  </si>
  <si>
    <t>PGDE Primary</t>
  </si>
  <si>
    <t>PGDE Secondary</t>
  </si>
  <si>
    <t>Community
Education</t>
  </si>
  <si>
    <t>(23)</t>
  </si>
  <si>
    <t>(24)</t>
  </si>
  <si>
    <t>(25)</t>
  </si>
  <si>
    <t>(26)</t>
  </si>
  <si>
    <t>(27)</t>
  </si>
  <si>
    <t>(28)</t>
  </si>
  <si>
    <t>(29)</t>
  </si>
  <si>
    <t>(31)</t>
  </si>
  <si>
    <t>(30)</t>
  </si>
  <si>
    <t>Table flags</t>
  </si>
  <si>
    <t>Institution selected</t>
  </si>
  <si>
    <t>(Calcul-
ated)</t>
  </si>
  <si>
    <t>Intake
to the
course</t>
  </si>
  <si>
    <t>Col</t>
  </si>
  <si>
    <t>Medicine
under-
graduates</t>
  </si>
  <si>
    <t>Dentistry
under-
graduates</t>
  </si>
  <si>
    <t>Parameters</t>
  </si>
  <si>
    <t>Controlled Under-enrolments</t>
  </si>
  <si>
    <t>Non-controlled Under-enrolments</t>
  </si>
  <si>
    <t>Is there an
under-
enrolment
below the
tolerance
threshold
(Yes or
No) ?</t>
  </si>
  <si>
    <t>Controlled subject areas</t>
  </si>
  <si>
    <t>Non-controlled subject areas</t>
  </si>
  <si>
    <t>Taught Postgraduate and Undergraduate</t>
  </si>
  <si>
    <t>Subject area</t>
  </si>
  <si>
    <t>Non-controlled Subject Areas</t>
  </si>
  <si>
    <t>Is there a
breach of
consol-
idation
(Yes or
No) ?</t>
  </si>
  <si>
    <t>Funded Places and Indicative Numbers</t>
  </si>
  <si>
    <t>Title</t>
  </si>
  <si>
    <t>Aberdeen,
University of</t>
  </si>
  <si>
    <t>Abertay Dundee,
University of</t>
  </si>
  <si>
    <t>Dundee,
University of</t>
  </si>
  <si>
    <t>West of Scotland,
University of the</t>
  </si>
  <si>
    <t>Strathclyde,
University of</t>
  </si>
  <si>
    <t>Stirling,
University of</t>
  </si>
  <si>
    <t>St Andrews,
University of</t>
  </si>
  <si>
    <t>Robert Gordon
University</t>
  </si>
  <si>
    <t>Queen Margaret
University, Edinburgh</t>
  </si>
  <si>
    <t>Royal Conservatoire
of Scotland</t>
  </si>
  <si>
    <t>Highlands and Islands,
University of the</t>
  </si>
  <si>
    <t>Glasgow Caledonian
University</t>
  </si>
  <si>
    <t>Edinburgh,
University of</t>
  </si>
  <si>
    <t>Edinburgh Napier
University</t>
  </si>
  <si>
    <t>Heriot-Watt
University</t>
  </si>
  <si>
    <t>Open University
in Scotland
(Enrolments)</t>
  </si>
  <si>
    <t>Open University
in Scotland
(Completions)</t>
  </si>
  <si>
    <t>Level of Study / Subject Area</t>
  </si>
  <si>
    <t>Included in Table</t>
  </si>
  <si>
    <t>2a</t>
  </si>
  <si>
    <t>2b</t>
  </si>
  <si>
    <t>2c</t>
  </si>
  <si>
    <t>Scots, Other EU, Rest of UK</t>
  </si>
  <si>
    <t>Medicine Undergraduates:</t>
  </si>
  <si>
    <t>Nursing and Midwifery Pre-registration:</t>
  </si>
  <si>
    <t>Full-time undergraduates (Scots, Other EU)</t>
  </si>
  <si>
    <t>Consolidation tolerance (&gt;=100)</t>
  </si>
  <si>
    <t>Consolidation tolerance (&lt;100) (FTE)</t>
  </si>
  <si>
    <t>Rest of
UK</t>
  </si>
  <si>
    <t>Students
on inter-
calating
degrees</t>
  </si>
  <si>
    <t>Eligible
for funding
able to
teach
in the
Gaelic
medium</t>
  </si>
  <si>
    <t>Nursing and Midwifery Pre-registration</t>
  </si>
  <si>
    <t>Initial Teacher Education (BEd and PGDE)
(Scots, Other EU, Rest of UK):</t>
  </si>
  <si>
    <t>Dentistry</t>
  </si>
  <si>
    <t>British
Sign
Language</t>
  </si>
  <si>
    <t>STEM subjects</t>
  </si>
  <si>
    <t>Other subjects</t>
  </si>
  <si>
    <t>Crichton
campus</t>
  </si>
  <si>
    <t>Regional
Coherence</t>
  </si>
  <si>
    <t>Widening
Access</t>
  </si>
  <si>
    <t>Articulation</t>
  </si>
  <si>
    <t>Skills
for
Growth
(Under-
graduate)</t>
  </si>
  <si>
    <t>Taught
post-
graduate</t>
  </si>
  <si>
    <t>Initial
Teacher
Education
Primary</t>
  </si>
  <si>
    <t>Initial
Teacher
Education
Secondary</t>
  </si>
  <si>
    <t>Nursing
and
midwifery
pre-
registration</t>
  </si>
  <si>
    <t>Additional Funded Places</t>
  </si>
  <si>
    <t>SFC
funded
places</t>
  </si>
  <si>
    <t>SRUC</t>
  </si>
  <si>
    <t>Students eligible for funding</t>
  </si>
  <si>
    <t>International</t>
  </si>
  <si>
    <t>Type of student</t>
  </si>
  <si>
    <t>Stage and Year of Course</t>
  </si>
  <si>
    <t>Scheme</t>
  </si>
  <si>
    <t>Allocation of
additional
funded
places</t>
  </si>
  <si>
    <t>Course</t>
  </si>
  <si>
    <t>Course / Subject Area</t>
  </si>
  <si>
    <t>Regional Coherence    (*)</t>
  </si>
  <si>
    <t>Community Education   (**)</t>
  </si>
  <si>
    <t>British Sign Language   (**)</t>
  </si>
  <si>
    <t>International Medical University of Malaysia</t>
  </si>
  <si>
    <t>Closed loop programme: Canada</t>
  </si>
  <si>
    <t>Total
(*)</t>
  </si>
  <si>
    <t>(*) The total(s) for students eligible for funding and rest of UK should equal the corresponding totals on Table 1.</t>
  </si>
  <si>
    <t>Num-
ber</t>
  </si>
  <si>
    <t>Crichton</t>
  </si>
  <si>
    <t>5a</t>
  </si>
  <si>
    <t>5b</t>
  </si>
  <si>
    <t>5c</t>
  </si>
  <si>
    <t>5d</t>
  </si>
  <si>
    <t>5e</t>
  </si>
  <si>
    <t>Minimum
of funded
places
and actual
enrol-
ments</t>
  </si>
  <si>
    <t>Postgraduate (Undergraduate fee)</t>
  </si>
  <si>
    <t>Students
in year
2 or
later</t>
  </si>
  <si>
    <t>International Total</t>
  </si>
  <si>
    <t>Intake or
enrolments
missing?</t>
  </si>
  <si>
    <t>Intake inconsistent
with enrolments?</t>
  </si>
  <si>
    <t>Intake or
enrolments missing?</t>
  </si>
  <si>
    <t>Intake or enrolments
missing?</t>
  </si>
  <si>
    <t>Only intake recorded?</t>
  </si>
  <si>
    <t>Intake inconsistent with enrolments?</t>
  </si>
  <si>
    <t>Early Statistics /
Final Figures Tables
Column Number</t>
  </si>
  <si>
    <t>Percentage Difference</t>
  </si>
  <si>
    <t>Dentistry Undergraduates:</t>
  </si>
  <si>
    <t>Final Figures 2013-14</t>
  </si>
  <si>
    <t>Comparison with Final Figures for 2013-14</t>
  </si>
  <si>
    <t>Pre-clinical
medicine</t>
  </si>
  <si>
    <t>Pre-clinical
dentistry</t>
  </si>
  <si>
    <t>Open University (Completions)</t>
  </si>
  <si>
    <r>
      <rPr>
        <b/>
        <sz val="11"/>
        <rFont val="Calibri"/>
        <family val="2"/>
      </rPr>
      <t>Courses</t>
    </r>
    <r>
      <rPr>
        <sz val="11"/>
        <rFont val="Calibri"/>
        <family val="2"/>
      </rPr>
      <t xml:space="preserve">
(Only those which lead to registration
with the General Teaching Council)</t>
    </r>
  </si>
  <si>
    <t>Check against Table 1</t>
  </si>
  <si>
    <t>Difference
from
Table 1</t>
  </si>
  <si>
    <t>Intake
but no
enrolments</t>
  </si>
  <si>
    <t>Enrolments
but no
intake</t>
  </si>
  <si>
    <t>Intake
greater
than
enrolments</t>
  </si>
  <si>
    <t>Intake
equals
total
enrolments</t>
  </si>
  <si>
    <t>Intake
equals
total
enrolments
and
students
in year
2 or
later</t>
  </si>
  <si>
    <t>Gaelic
headcount
intake
non-zero
but FTE
intake is
missing</t>
  </si>
  <si>
    <t>Level of Study</t>
  </si>
  <si>
    <r>
      <rPr>
        <b/>
        <sz val="11"/>
        <rFont val="Calibri"/>
        <family val="2"/>
      </rPr>
      <t>Level of Study</t>
    </r>
    <r>
      <rPr>
        <b/>
        <sz val="11"/>
        <color indexed="18"/>
        <rFont val="Calibri"/>
        <family val="2"/>
      </rPr>
      <t xml:space="preserve"> / </t>
    </r>
    <r>
      <rPr>
        <b/>
        <sz val="11"/>
        <color indexed="56"/>
        <rFont val="Calibri"/>
        <family val="2"/>
      </rPr>
      <t>Subject Areas</t>
    </r>
  </si>
  <si>
    <t>Students Eligible for Funding in All Subject Areas and Students Not Eligible for Funding in Controlled Subject Areas</t>
  </si>
  <si>
    <t>Continuing
Rest of UK
(*)</t>
  </si>
  <si>
    <t>Of which associated with Innovation Centres</t>
  </si>
  <si>
    <t>Undergraduate Total</t>
  </si>
  <si>
    <t>Total
enrolments
non-zero
but
intake is
missing</t>
  </si>
  <si>
    <t>Intake
non-zero
but no
enrolments</t>
  </si>
  <si>
    <t>Intake
equals
total
enrolments
and
enrolments
in year 2
or later</t>
  </si>
  <si>
    <t>4a</t>
  </si>
  <si>
    <t>4b</t>
  </si>
  <si>
    <t>Under-
graduate
Skills
for Growth</t>
  </si>
  <si>
    <t xml:space="preserve">Articul-
ation
</t>
  </si>
  <si>
    <t>Total Accumulated Additional SFC Places for:</t>
  </si>
  <si>
    <t xml:space="preserve">Nursing
and
Midwifery
Pre-
registration   </t>
  </si>
  <si>
    <t>Honours
Nursing</t>
  </si>
  <si>
    <t>Intake</t>
  </si>
  <si>
    <t>Year of Programme</t>
  </si>
  <si>
    <t>Intake or enrolments missing?</t>
  </si>
  <si>
    <t>Rest of UK paying deregulated tuition fees</t>
  </si>
  <si>
    <t>Home and Deregulated Tuition Fees</t>
  </si>
  <si>
    <t>Total Home and Deregulated Tuition Fees</t>
  </si>
  <si>
    <t>Total
enrolments
non-zero
but intake
is missing</t>
  </si>
  <si>
    <t>Intake
equals total
enrolments
both non-zero</t>
  </si>
  <si>
    <t>Comparison with Table 1</t>
  </si>
  <si>
    <t>Use of Additional Funded Places for Crichton Campus</t>
  </si>
  <si>
    <t>Use of Additional Funded Places for Community Education, British Sign Language and Regional Coherence</t>
  </si>
  <si>
    <t>Intake /
Year of Programme</t>
  </si>
  <si>
    <t>2d</t>
  </si>
  <si>
    <t>PGDE Secondary Subject</t>
  </si>
  <si>
    <t>Art</t>
  </si>
  <si>
    <t>Biology</t>
  </si>
  <si>
    <t>Business Education</t>
  </si>
  <si>
    <t>Chemistry</t>
  </si>
  <si>
    <t>Computing</t>
  </si>
  <si>
    <t>Drama</t>
  </si>
  <si>
    <t>English</t>
  </si>
  <si>
    <t>Gaelic</t>
  </si>
  <si>
    <t>Geography</t>
  </si>
  <si>
    <t>History</t>
  </si>
  <si>
    <t>Home Economics</t>
  </si>
  <si>
    <t>Mathematics</t>
  </si>
  <si>
    <t>Modern Languages</t>
  </si>
  <si>
    <t>Modern Studies</t>
  </si>
  <si>
    <t>Music</t>
  </si>
  <si>
    <t>Physical Education</t>
  </si>
  <si>
    <t>Religious Education</t>
  </si>
  <si>
    <t>Technological Education</t>
  </si>
  <si>
    <t>Physics</t>
  </si>
  <si>
    <t>Single
subject</t>
  </si>
  <si>
    <t>Combined with:</t>
  </si>
  <si>
    <t>Business
Education</t>
  </si>
  <si>
    <t>Physical
Education</t>
  </si>
  <si>
    <t>Religious
Education</t>
  </si>
  <si>
    <t>Modern
Studies</t>
  </si>
  <si>
    <t>Home
Economics</t>
  </si>
  <si>
    <t>Modern
Languages</t>
  </si>
  <si>
    <t>Mathe-
matics</t>
  </si>
  <si>
    <t>Combined
total</t>
  </si>
  <si>
    <t>Techn-
ological
Education</t>
  </si>
  <si>
    <t>Total
number of
students
training for
subject  (*)</t>
  </si>
  <si>
    <t>(*) Students are counted against both subjects if they are training to teach two subjects.</t>
  </si>
  <si>
    <t>Check against Table 2a</t>
  </si>
  <si>
    <t>Table 2a</t>
  </si>
  <si>
    <t>Difference
from
Table 2a</t>
  </si>
  <si>
    <t>Contents</t>
  </si>
  <si>
    <t>Table</t>
  </si>
  <si>
    <t>Completed
by
Institution</t>
  </si>
  <si>
    <t>YES</t>
  </si>
  <si>
    <t>For Info</t>
  </si>
  <si>
    <t>Level of Study / Branch</t>
  </si>
  <si>
    <t>Difference</t>
  </si>
  <si>
    <t>Allocation of additional funded places</t>
  </si>
  <si>
    <t>Minimum
of funded
places
and actual
enrolments</t>
  </si>
  <si>
    <t>College</t>
  </si>
  <si>
    <t xml:space="preserve">     number of undergraduate entrants from the 40 per cent most deprived areas.</t>
  </si>
  <si>
    <t>(*) Enter the FTE number of places that have been filled. You do not have to return the total</t>
  </si>
  <si>
    <t>(*) Enter the FTE number of places that have been filled.  You do not have to return the total number of students</t>
  </si>
  <si>
    <t xml:space="preserve">     eligible for funding entering the undergraduate courses for which additional places were allocated.</t>
  </si>
  <si>
    <t>(*) For Regional Coherence enter the FTE number of places that have been filled.  You do not have to</t>
  </si>
  <si>
    <t xml:space="preserve">     return the total FTE number of students eligible for funding on the relevant courses.</t>
  </si>
  <si>
    <t>(**) For Community Education and British Sign Language enter the total FTE number of students</t>
  </si>
  <si>
    <t xml:space="preserve">        eligible for funding on the relevant courses.</t>
  </si>
  <si>
    <t>Non-controlled
subject areas</t>
  </si>
  <si>
    <t>Non-controlled subject areas, excluding strategic funded places and
associated students eligible for funding in tables 5a to 5e</t>
  </si>
  <si>
    <t>Funded
places</t>
  </si>
  <si>
    <t>Students eligible for funding compared to funded places</t>
  </si>
  <si>
    <t>Scottish and other EU full-time and sandwich undergraduate students eligible for funding compared to Indicative student numbers for non-controlled subject areas</t>
  </si>
  <si>
    <t>Difference between
student numbers and
Indicative Number</t>
  </si>
  <si>
    <t>Relevant
student
numbers</t>
  </si>
  <si>
    <t>Previously controlled nursing and midwifery</t>
  </si>
  <si>
    <t>Controlled Four-year Nursing Degrees</t>
  </si>
  <si>
    <t>(*) 'Continuing rest of UK' are those students who are eligible for funding because they started their courses prior to 2012-13, but would not have been eligible for funding if they had started in 2012-13 or later because</t>
  </si>
  <si>
    <t>Full-time
and
sandwich
(excluding
short
full-time)</t>
  </si>
  <si>
    <t>Part-time
(including
short
full-time)</t>
  </si>
  <si>
    <t>See Notes of Guidance, Paragraphs 103 to 105</t>
  </si>
  <si>
    <t>An individual student should not be counted in more than one of the tables 5a to 5e.</t>
  </si>
  <si>
    <t>See Notes of Guidance, Paragraphs 113 to 115</t>
  </si>
  <si>
    <t>(*) Enter the total FTE number of students eligible for funding at Crichton campus.</t>
  </si>
  <si>
    <t xml:space="preserve">     eligible for funding on the taught postgraduate courses for which additional places were allocated.</t>
  </si>
  <si>
    <t>SFC Early Statistics Return 2015-16</t>
  </si>
  <si>
    <t>Students Eligible for Funding on Initial Teacher Education Courses, 2015-16</t>
  </si>
  <si>
    <t>Students Eligible for Funding on Teaching Qualification (Further Education) (TQ(FE)) Courses, 2015-16</t>
  </si>
  <si>
    <t>Students Eligible for Funding Enrolled on Catholic Courses or Modules, 2015-16</t>
  </si>
  <si>
    <t>Subjects Students Eligible for Funding in the Intake to PGDE Secondary Courses are Training to Teach, 2015-16</t>
  </si>
  <si>
    <t>Students on Undergraduate Medicine and Dentistry Courses, 2015-16</t>
  </si>
  <si>
    <t>Students Eligible for Funding on Controlled Four-year Nursing Degree courses, 2015-16</t>
  </si>
  <si>
    <t>Use of Additional Funded Places for 2015-16 for Widening Access</t>
  </si>
  <si>
    <t>Use of Additional Funded Places for 2015-16 for Articulation</t>
  </si>
  <si>
    <t>Use of Additional Funded Places for 2015-16 for Undergraduate Skills for Growth</t>
  </si>
  <si>
    <t>Use of Additional Funded Places for 2015-16 for Taught Postgraduate Provision</t>
  </si>
  <si>
    <t>Use of Additional Funded Places for 2015-16 for Community Education, British Sign Language, Regional Coherence and Crichton Campus</t>
  </si>
  <si>
    <t>Monitoring for Under-enrolments against Funded Places or Breaches of Consolidation, 2015-16</t>
  </si>
  <si>
    <t>Scottish Funding Council Early Statistics Return 2015-16: Table 1</t>
  </si>
  <si>
    <t>Students Eligible for Funding in All Subject Areas and Students Not Eligible for Funding in Controlled Subject Areas, 2015-16</t>
  </si>
  <si>
    <t>Scottish Funding Council Early Statistics Return 2015-16: Table 2a</t>
  </si>
  <si>
    <t>Scottish Funding Council Early Statistics Return 2015-16: Table 2b</t>
  </si>
  <si>
    <t>Scottish Funding Council Early Statistics Return 2015-16: Table 2c</t>
  </si>
  <si>
    <t>Scottish Funding Council Early Statistics Return 2015-16: Table 2d</t>
  </si>
  <si>
    <t>Students Eligible for Funding in the Intake to PGDE Secondary Courses, 2015-16: Subjects Training to Teach</t>
  </si>
  <si>
    <t>Scottish Funding Council Early Statistics Return 2015-16: Table 3</t>
  </si>
  <si>
    <t>Scottish Funding Council Early Statistics Return 2015-16: Table 4a</t>
  </si>
  <si>
    <t>Scottish Funding Council Early Statistics Return 2015-16: Table 4b</t>
  </si>
  <si>
    <t>Scottish Funding Council Early Statistics Return 2015-16: Table 5a</t>
  </si>
  <si>
    <t>Scottish Funding Council Early Statistics Return 2015-16: Table 5b</t>
  </si>
  <si>
    <t>Scottish Funding Council Early Statistics Return 2015-16: Table 5c</t>
  </si>
  <si>
    <t>Scottish Funding Council Early Statistics Return 2015-16: Table 5d</t>
  </si>
  <si>
    <t>Use of Additional Funded Places for Taught Postgraduate Provision, 2015-16</t>
  </si>
  <si>
    <t>Scottish Funding Council Early Statistics Return 2015-16: Table 5e</t>
  </si>
  <si>
    <t>Use of Additional Funded Places for Community Education, British Sign Language, Regional Coherence and Crichton Campus, 2015-16</t>
  </si>
  <si>
    <t>Scottish Funding Council Early Statistics Return 2015-16</t>
  </si>
  <si>
    <t>Controlled subject areas, 2015-16</t>
  </si>
  <si>
    <t>Students
eligible
for  
funding
2015-16
from 
Table1</t>
  </si>
  <si>
    <t>Non-controlled subject areas, 2015-16</t>
  </si>
  <si>
    <t>All
students
eligible
for  
funding in
2015-16
from 
table1</t>
  </si>
  <si>
    <t>Students
eligible
for  
funding in
2015-16</t>
  </si>
  <si>
    <t>Indicative student numbers, 2015-16</t>
  </si>
  <si>
    <t>Indicative
Numbers 
2015-16</t>
  </si>
  <si>
    <t>Embedded SFC Places from 2014-15</t>
  </si>
  <si>
    <t>Additional SFC Places for 2015-16</t>
  </si>
  <si>
    <t>Scottish Government Controlled Funded Places for 2015-16</t>
  </si>
  <si>
    <t>SFC Controlled Funded Places for 2015-16</t>
  </si>
  <si>
    <t>Controlled Indicative Numbers for 2015-16</t>
  </si>
  <si>
    <t>Non-
controlled
Indicative
number
for 2015-16</t>
  </si>
  <si>
    <t>SFC
non-
controlled
funded
places
for
2015-16</t>
  </si>
  <si>
    <t>Early Statistics 2014-15</t>
  </si>
  <si>
    <t>Previously controlled</t>
  </si>
  <si>
    <t>Four Year Degree - Entrants</t>
  </si>
  <si>
    <t>Comparison with Early Statistics for 2014-15</t>
  </si>
  <si>
    <t>Rest of UK
students
not eligible
for funding
in controlled
subject
areas</t>
  </si>
  <si>
    <t xml:space="preserve">Rest of UK Students Eligible for Funding in the Controlled Subject Areas / Taught Postgraduate Students Eligible for Funding at the Innovation Centres </t>
  </si>
  <si>
    <t>Glasgow
School
of Art</t>
  </si>
  <si>
    <t>Glasgow,
University of</t>
  </si>
  <si>
    <t>Highlands
and
Islands,
University
of the</t>
  </si>
  <si>
    <t>Open
University
in Scotland
(Enrolments)</t>
  </si>
  <si>
    <t>Queen
Margaret
University,
Edinburgh</t>
  </si>
  <si>
    <t>Robert
Gordon
University</t>
  </si>
  <si>
    <t>Royal
Conser-
vatoire
of Scotland</t>
  </si>
  <si>
    <t>West of
Scotland,
University
of the</t>
  </si>
  <si>
    <t>Open
University
in Scotland
(Completions)</t>
  </si>
  <si>
    <t>Look up
for
Early
Statistics
for
2014-15</t>
  </si>
  <si>
    <t>Look up
for
Final
Figures
for
2013-14</t>
  </si>
  <si>
    <t>RUK</t>
  </si>
  <si>
    <t>At your
institution</t>
  </si>
  <si>
    <t>At another
institution</t>
  </si>
  <si>
    <t>Students Eligible for Funding, 2014-15</t>
  </si>
  <si>
    <t>Rest of UK
students
not eligible
for funding
in controlled
subject
areas,
2014-15</t>
  </si>
  <si>
    <t>Students Eligible for Funding, 2013-14</t>
  </si>
  <si>
    <t>Students Eligible for Funding, 2015-16</t>
  </si>
  <si>
    <t>Rest of UK Students
Not Eligible for Funding
in Controlled Subject Areas, 2015-16</t>
  </si>
  <si>
    <t>Total for
Controlled
Subject
Areas for
Monitoring
Consolidation
for Scots /
Other EU /
Rest of UK,
2015-16</t>
  </si>
  <si>
    <t>Intake to the Course, 2015-16</t>
  </si>
  <si>
    <t>Students enrolled on Catholic courses
or modules studying ITE, 2015-16</t>
  </si>
  <si>
    <t>Students
eligible for
funding,
2015-16</t>
  </si>
  <si>
    <t>Undergraduate entrants in 2015-16 from the 40 per cent most deprived areas   (*)</t>
  </si>
  <si>
    <t>Entrants
to the
relevant
undergraduate
courses,
2015-16</t>
  </si>
  <si>
    <t>Students on
the relevant
taught
postgraduate
courses,
2015-16</t>
  </si>
  <si>
    <t>Students
eligible
for funding,
2015-16
(*) (**)</t>
  </si>
  <si>
    <t>Entrants
articulating
at a
Further
Education
College,
2015-16</t>
  </si>
  <si>
    <t xml:space="preserve">      total number of entrants articulating at a further education college.</t>
  </si>
  <si>
    <t>(*) Enter the FTE number of places that have been filled. You do not have to return the</t>
  </si>
  <si>
    <t>Students Eligible for Funding on Controlled Three-year Nursing and Midwifery Pre-registration courses, 2015-16</t>
  </si>
  <si>
    <t xml:space="preserve">     they would have been paying deregulated tuition fees, see paragraphs 36 to 42 of the Notes of Guidance.</t>
  </si>
  <si>
    <t>See Notes of Guidance, Paragraphs 66 to 68</t>
  </si>
  <si>
    <t>See Notes of Guidance, Paragraph 69</t>
  </si>
  <si>
    <t>See Notes of Guidance, Paragraphs 70 and 71</t>
  </si>
  <si>
    <t>See Notes of Guidance, Paragraphs 72 and 73</t>
  </si>
  <si>
    <t>See Notes of Guidance, Paragraphs 76 to 81</t>
  </si>
  <si>
    <t>See Notes of Guidance, Paragraphs 82 to 89</t>
  </si>
  <si>
    <t>See Notes of Guidance, Paragraphs 90 to 93</t>
  </si>
  <si>
    <t>Controlled Three-year</t>
  </si>
  <si>
    <t>Controlled Four-year Degree - Started in 2014-15 or later</t>
  </si>
  <si>
    <t>See Notes of Guidance, Paragraphs 97 to 99</t>
  </si>
  <si>
    <t>See Notes of Guidance, Paragraphs 100 to 102</t>
  </si>
  <si>
    <t>See Notes of Guidance, Paragraphs 106 to 108</t>
  </si>
  <si>
    <t>See Notes of Guidance, Paragraphs 109 to 112</t>
  </si>
  <si>
    <t>Students eligible for funding and rest of UK students paying deregulated tuition fees compared to Indicative student numbers for controlled subject areas</t>
  </si>
  <si>
    <t xml:space="preserve">Mlitt Theatre Practices 5.0  
</t>
  </si>
  <si>
    <t xml:space="preserve">MSc Mammalian Biology
</t>
  </si>
  <si>
    <t>MSc Medical Visualisation &amp; Human Anatomy</t>
  </si>
  <si>
    <t>MSc Animal Welfare Science, Ethics &amp; Law</t>
  </si>
  <si>
    <t>MSc Information Technology</t>
  </si>
  <si>
    <t>MSc Software Development</t>
  </si>
  <si>
    <t>MSc Aeronautical Engineering</t>
  </si>
  <si>
    <t>MSc Nanoscience &amp; Nanotechnology</t>
  </si>
  <si>
    <t>MSc Financial Risk Management</t>
  </si>
  <si>
    <t>MSc Investment Fund Management</t>
  </si>
  <si>
    <t>MLitt Environment, Culture &amp; Communcation</t>
  </si>
  <si>
    <t>MLitt Playwriting &amp; Dramaturgy</t>
  </si>
  <si>
    <t>MLitt History of Art</t>
  </si>
  <si>
    <t>MLitt Material Cultures &amp; Artefacts</t>
  </si>
  <si>
    <t>MSc Tourism, Heritage &amp; Sustainability</t>
  </si>
  <si>
    <t>MSc City Planning &amp; Real Estate Development</t>
  </si>
  <si>
    <t>MSc Real Estate &amp; Regeneration</t>
  </si>
  <si>
    <t>PG Cert Real Estate</t>
  </si>
  <si>
    <t>MSc Real Estate</t>
  </si>
  <si>
    <t>Dumfries and Golloway College</t>
  </si>
  <si>
    <t>Borders College</t>
  </si>
  <si>
    <t>MA Primary Education</t>
  </si>
  <si>
    <t>BSc Environmental Stewardship</t>
  </si>
  <si>
    <t>MA Health and Social Policy</t>
  </si>
  <si>
    <t>School of Life Sciences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</si>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</sst>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3" formatCode="_-* #,##0.00_-;\-* #,##0.00_-;_-* &quot;-&quot;??_-;_-@_-"/>
    <numFmt numFmtId="164" formatCode="#,##0\ \ \ "/>
    <numFmt numFmtId="165" formatCode="#,##0\ \ "/>
    <numFmt numFmtId="166" formatCode="0.0%"/>
    <numFmt numFmtId="167" formatCode="#,##0.0\ \ ;\-#,##0.0\ \ ;\ \ "/>
    <numFmt numFmtId="168" formatCode="#,##0.0\ \ \ ;\-#,##0.0\ \ \ "/>
    <numFmt numFmtId="169" formatCode="0\ \ "/>
    <numFmt numFmtId="170" formatCode="#,##0\ \ ;\-#,##0\ \ ;\ \ "/>
    <numFmt numFmtId="171" formatCode="_(* #,##0.00_);_(* \(#,##0.00\);_(* &quot;-&quot;??_);_(@_)"/>
    <numFmt numFmtId="172" formatCode="#,##0.0\ \ \ ;\-#,##0.0\ \ \ ;"/>
    <numFmt numFmtId="173" formatCode="#,##0.0"/>
    <numFmt numFmtId="174" formatCode="#,##0\ \ ;\-#,##0\ \ ;\-\ \ "/>
    <numFmt numFmtId="175" formatCode="#,##0.0\ \ ;\-#,##0.0\ \ ;\-\ \ "/>
    <numFmt numFmtId="176" formatCode="0.0%\ \ "/>
    <numFmt numFmtId="177" formatCode="#,##0;\-#,##0;\-"/>
    <numFmt numFmtId="178" formatCode="#,##0.0\ \ ;\-#,##0.0\ \ ;"/>
    <numFmt numFmtId="179" formatCode="#,##0.0\ \ \ ;\-#,##0.0\ \ \ ;0.0\ \ "/>
    <numFmt numFmtId="180" formatCode="#,##0.0\ \ ;\-#,##0.0\ \ ;0.0\ \ "/>
    <numFmt numFmtId="181" formatCode="#,##0\ \ ;\-#,##0\ \ ;0\ \ "/>
    <numFmt numFmtId="182" formatCode="#,##0\ \ ;\-#,##0\ \ ;\ \ \ "/>
    <numFmt numFmtId="183" formatCode="#,##0.0;\-#,##0.0;\-"/>
    <numFmt numFmtId="184" formatCode="#,##0.0\ \ ;#,##0.0\ \ ;\-\ \ "/>
    <numFmt numFmtId="185" formatCode="#,##0.0\ \ ;\-#,##0.0\ \ ;\ \ \ "/>
    <numFmt numFmtId="186" formatCode="#,##0.00\ \ ;\-#,##0.00\ \ ;0.00\ \ "/>
    <numFmt numFmtId="187" formatCode="#,##0.0_ ;\-#,##0.0\ "/>
    <numFmt numFmtId="188" formatCode="\(0\)"/>
    <numFmt numFmtId="189" formatCode="#,##0.0;\-#,##0.0;0.0"/>
  </numFmts>
  <fonts count="31">
    <font>
      <sz val="10"/>
      <name val="Arial"/>
    </font>
    <font>
      <sz val="10"/>
      <name val="Arial MT"/>
    </font>
    <font>
      <sz val="10"/>
      <name val="Arial"/>
      <family val="2"/>
    </font>
    <font>
      <sz val="10"/>
      <name val="Arial"/>
      <family val="2"/>
    </font>
    <font>
      <sz val="8"/>
      <name val="Arial"/>
      <family val="2"/>
    </font>
    <font>
      <sz val="11"/>
      <color indexed="8"/>
      <name val="Calibri"/>
      <family val="2"/>
    </font>
    <font>
      <sz val="11"/>
      <name val="Calibri"/>
      <family val="2"/>
    </font>
    <font>
      <b/>
      <sz val="11"/>
      <name val="Calibri"/>
      <family val="2"/>
    </font>
    <font>
      <sz val="11"/>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sz val="11"/>
      <color indexed="10"/>
      <name val="Calibri"/>
      <family val="2"/>
    </font>
    <font>
      <b/>
      <sz val="11"/>
      <color indexed="10"/>
      <name val="Calibri"/>
      <family val="2"/>
    </font>
    <font>
      <sz val="11"/>
      <color indexed="27"/>
      <name val="Calibri"/>
      <family val="2"/>
    </font>
    <font>
      <sz val="11"/>
      <color rgb="FFCCFFFF"/>
      <name val="Calibri"/>
      <family val="2"/>
    </font>
    <font>
      <u/>
      <sz val="11"/>
      <name val="Calibri"/>
      <family val="2"/>
    </font>
    <font>
      <b/>
      <sz val="11"/>
      <color indexed="8"/>
      <name val="Calibri"/>
      <family val="2"/>
    </font>
    <font>
      <u/>
      <sz val="11"/>
      <color indexed="10"/>
      <name val="Calibri"/>
      <family val="2"/>
    </font>
    <font>
      <b/>
      <sz val="11"/>
      <color indexed="18"/>
      <name val="Calibri"/>
      <family val="2"/>
    </font>
    <font>
      <b/>
      <sz val="11"/>
      <color indexed="20"/>
      <name val="Calibri"/>
      <family val="2"/>
    </font>
    <font>
      <b/>
      <sz val="11"/>
      <color theme="3" tint="-0.24994659260841701"/>
      <name val="Calibri"/>
      <family val="2"/>
    </font>
    <font>
      <sz val="11"/>
      <color theme="3" tint="-0.24994659260841701"/>
      <name val="Calibri"/>
      <family val="2"/>
    </font>
    <font>
      <b/>
      <sz val="11"/>
      <color indexed="56"/>
      <name val="Calibri"/>
      <family val="2"/>
    </font>
    <font>
      <b/>
      <sz val="11"/>
      <color theme="5"/>
      <name val="Calibri"/>
      <family val="2"/>
    </font>
    <font>
      <sz val="18"/>
      <color indexed="10"/>
      <name val="Calibri"/>
      <family val="2"/>
    </font>
    <font>
      <sz val="12"/>
      <name val="Calibri"/>
      <family val="2"/>
    </font>
    <font>
      <b/>
      <sz val="16"/>
      <color rgb="FFFF0000"/>
      <name val="Calibri"/>
      <family val="2"/>
    </font>
    <font>
      <b/>
      <sz val="12"/>
      <name val="Calibri"/>
      <family val="2"/>
    </font>
    <font>
      <b/>
      <sz val="11"/>
      <color rgb="FFCCFFFF"/>
      <name val="Calibri"/>
      <family val="2"/>
    </font>
    <font>
      <sz val="10"/>
      <color theme="1"/>
      <name val="Arial"/>
      <family val="2"/>
    </font>
  </fonts>
  <fills count="18">
    <fill>
      <patternFill patternType="none"/>
    </fill>
    <fill>
      <patternFill patternType="gray125"/>
    </fill>
    <fill>
      <patternFill patternType="solid">
        <fgColor indexed="41"/>
        <bgColor indexed="64"/>
      </patternFill>
    </fill>
    <fill>
      <patternFill patternType="solid">
        <fgColor indexed="41"/>
        <bgColor indexed="35"/>
      </patternFill>
    </fill>
    <fill>
      <patternFill patternType="solid">
        <fgColor indexed="27"/>
        <bgColor indexed="35"/>
      </patternFill>
    </fill>
    <fill>
      <patternFill patternType="solid">
        <fgColor indexed="27"/>
        <bgColor indexed="64"/>
      </patternFill>
    </fill>
    <fill>
      <patternFill patternType="solid">
        <fgColor indexed="26"/>
        <bgColor indexed="43"/>
      </patternFill>
    </fill>
    <fill>
      <patternFill patternType="solid">
        <fgColor indexed="26"/>
        <bgColor indexed="64"/>
      </patternFill>
    </fill>
    <fill>
      <patternFill patternType="solid">
        <fgColor indexed="27"/>
        <bgColor indexed="15"/>
      </patternFill>
    </fill>
    <fill>
      <patternFill patternType="solid">
        <fgColor rgb="FFCCFFFF"/>
        <bgColor indexed="64"/>
      </patternFill>
    </fill>
    <fill>
      <patternFill patternType="solid">
        <fgColor rgb="FFCCFFFF"/>
        <bgColor indexed="35"/>
      </patternFill>
    </fill>
    <fill>
      <patternFill patternType="solid">
        <fgColor theme="7" tint="0.59996337778862885"/>
        <bgColor indexed="43"/>
      </patternFill>
    </fill>
    <fill>
      <patternFill patternType="solid">
        <fgColor theme="7" tint="0.59996337778862885"/>
        <bgColor indexed="64"/>
      </patternFill>
    </fill>
    <fill>
      <patternFill patternType="solid">
        <fgColor rgb="FF7030A0"/>
        <bgColor indexed="64"/>
      </patternFill>
    </fill>
    <fill>
      <patternFill patternType="solid">
        <fgColor rgb="FF7030A0"/>
        <bgColor indexed="15"/>
      </patternFill>
    </fill>
    <fill>
      <patternFill patternType="solid">
        <fgColor rgb="FFFFFFFF"/>
        <bgColor indexed="15"/>
      </patternFill>
    </fill>
    <fill>
      <patternFill patternType="solid">
        <fgColor rgb="FFCCFFFF"/>
        <bgColor indexed="15"/>
      </patternFill>
    </fill>
    <fill>
      <patternFill patternType="solid">
        <fgColor theme="0" tint="-0.24994659260841701"/>
        <bgColor indexed="64"/>
      </patternFill>
    </fill>
  </fills>
  <borders count="126">
    <border>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8"/>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8"/>
      </left>
      <right style="medium">
        <color indexed="64"/>
      </right>
      <top style="thin">
        <color indexed="8"/>
      </top>
      <bottom/>
      <diagonal/>
    </border>
    <border>
      <left/>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dashed">
        <color indexed="64"/>
      </left>
      <right style="medium">
        <color indexed="64"/>
      </right>
      <top/>
      <bottom style="thin">
        <color indexed="64"/>
      </bottom>
      <diagonal/>
    </border>
    <border>
      <left style="dashed">
        <color indexed="64"/>
      </left>
      <right style="medium">
        <color indexed="64"/>
      </right>
      <top/>
      <bottom style="medium">
        <color indexed="64"/>
      </bottom>
      <diagonal/>
    </border>
    <border>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right style="thin">
        <color indexed="8"/>
      </right>
      <top/>
      <bottom/>
      <diagonal/>
    </border>
    <border>
      <left style="thin">
        <color indexed="8"/>
      </left>
      <right style="medium">
        <color indexed="64"/>
      </right>
      <top/>
      <bottom/>
      <diagonal/>
    </border>
    <border>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8"/>
      </bottom>
      <diagonal/>
    </border>
    <border>
      <left style="medium">
        <color indexed="64"/>
      </left>
      <right style="medium">
        <color indexed="64"/>
      </right>
      <top style="thin">
        <color indexed="64"/>
      </top>
      <bottom/>
      <diagonal/>
    </border>
    <border>
      <left/>
      <right style="medium">
        <color indexed="64"/>
      </right>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64"/>
      </bottom>
      <diagonal/>
    </border>
    <border>
      <left/>
      <right style="thin">
        <color indexed="8"/>
      </right>
      <top/>
      <bottom style="thin">
        <color indexed="64"/>
      </bottom>
      <diagonal/>
    </border>
    <border>
      <left style="medium">
        <color indexed="64"/>
      </left>
      <right style="medium">
        <color indexed="64"/>
      </right>
      <top style="medium">
        <color indexed="64"/>
      </top>
      <bottom style="thin">
        <color indexed="64"/>
      </bottom>
      <diagonal/>
    </border>
    <border>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style="medium">
        <color indexed="64"/>
      </right>
      <top style="thin">
        <color auto="1"/>
      </top>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8"/>
      </top>
      <bottom style="medium">
        <color indexed="64"/>
      </bottom>
      <diagonal/>
    </border>
    <border>
      <left style="medium">
        <color indexed="64"/>
      </left>
      <right/>
      <top style="thin">
        <color indexed="64"/>
      </top>
      <bottom/>
      <diagonal/>
    </border>
    <border>
      <left style="medium">
        <color indexed="64"/>
      </left>
      <right/>
      <top style="thin">
        <color indexed="64"/>
      </top>
      <bottom/>
      <diagonal/>
    </border>
  </borders>
  <cellStyleXfs count="18">
    <xf numFmtId="0" fontId="0" fillId="0" borderId="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0" fontId="3" fillId="0" borderId="0"/>
    <xf numFmtId="0" fontId="4" fillId="0" borderId="0"/>
    <xf numFmtId="0" fontId="3" fillId="0" borderId="0"/>
    <xf numFmtId="0" fontId="1" fillId="0" borderId="0"/>
    <xf numFmtId="0" fontId="5" fillId="0" borderId="0"/>
    <xf numFmtId="0" fontId="1" fillId="0" borderId="0"/>
    <xf numFmtId="0" fontId="1" fillId="0" borderId="0"/>
    <xf numFmtId="0" fontId="2" fillId="0" borderId="0"/>
    <xf numFmtId="0" fontId="2" fillId="0" borderId="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0" fontId="2" fillId="0" borderId="0"/>
  </cellStyleXfs>
  <cellXfs count="1862">
    <xf numFmtId="0" fontId="0" fillId="0" borderId="0" xfId="0"/>
    <xf numFmtId="0" fontId="10" fillId="0" borderId="0" xfId="0" applyFont="1" applyFill="1" applyBorder="1" applyAlignment="1" applyProtection="1">
      <protection hidden="1"/>
    </xf>
    <xf numFmtId="0" fontId="9" fillId="0" borderId="0" xfId="0" applyFont="1" applyFill="1" applyProtection="1">
      <protection hidden="1"/>
    </xf>
    <xf numFmtId="172" fontId="10" fillId="0" borderId="0" xfId="0" applyNumberFormat="1" applyFont="1" applyFill="1" applyBorder="1" applyAlignment="1" applyProtection="1">
      <protection hidden="1"/>
    </xf>
    <xf numFmtId="0" fontId="9" fillId="0" borderId="0" xfId="10" applyFont="1" applyFill="1" applyBorder="1" applyProtection="1">
      <protection hidden="1"/>
    </xf>
    <xf numFmtId="177" fontId="9" fillId="0" borderId="0" xfId="0" applyNumberFormat="1" applyFont="1" applyFill="1" applyAlignment="1" applyProtection="1">
      <alignment horizontal="center"/>
      <protection hidden="1"/>
    </xf>
    <xf numFmtId="172" fontId="9" fillId="0" borderId="0" xfId="0" applyNumberFormat="1" applyFont="1" applyFill="1" applyProtection="1">
      <protection hidden="1"/>
    </xf>
    <xf numFmtId="0" fontId="9" fillId="0" borderId="0" xfId="10" applyFont="1" applyFill="1" applyBorder="1" applyAlignment="1" applyProtection="1">
      <alignment horizontal="center"/>
      <protection hidden="1"/>
    </xf>
    <xf numFmtId="172" fontId="10" fillId="0" borderId="28" xfId="0" applyNumberFormat="1" applyFont="1" applyFill="1" applyBorder="1" applyAlignment="1" applyProtection="1">
      <alignment horizontal="center" vertical="center"/>
      <protection hidden="1"/>
    </xf>
    <xf numFmtId="3" fontId="10" fillId="0" borderId="28" xfId="0" applyNumberFormat="1" applyFont="1" applyFill="1" applyBorder="1" applyAlignment="1" applyProtection="1">
      <alignment horizontal="center" vertical="center"/>
      <protection hidden="1"/>
    </xf>
    <xf numFmtId="3" fontId="10" fillId="0" borderId="42" xfId="0" applyNumberFormat="1" applyFont="1" applyFill="1" applyBorder="1" applyAlignment="1" applyProtection="1">
      <alignment horizontal="center" vertical="center"/>
      <protection hidden="1"/>
    </xf>
    <xf numFmtId="0" fontId="10" fillId="0" borderId="32" xfId="0" applyNumberFormat="1" applyFont="1" applyFill="1" applyBorder="1" applyAlignment="1" applyProtection="1">
      <alignment horizontal="center" vertical="center" wrapText="1"/>
      <protection hidden="1"/>
    </xf>
    <xf numFmtId="177" fontId="9" fillId="0" borderId="7" xfId="0" applyNumberFormat="1" applyFont="1" applyFill="1" applyBorder="1" applyAlignment="1" applyProtection="1">
      <alignment horizontal="center"/>
      <protection hidden="1"/>
    </xf>
    <xf numFmtId="182" fontId="9" fillId="0" borderId="2" xfId="0" applyNumberFormat="1" applyFont="1" applyFill="1" applyBorder="1" applyAlignment="1" applyProtection="1">
      <protection hidden="1"/>
    </xf>
    <xf numFmtId="177" fontId="9" fillId="0" borderId="2" xfId="0" applyNumberFormat="1" applyFont="1" applyFill="1" applyBorder="1" applyAlignment="1" applyProtection="1">
      <alignment horizontal="center"/>
      <protection hidden="1"/>
    </xf>
    <xf numFmtId="177" fontId="9" fillId="0" borderId="13" xfId="0" applyNumberFormat="1" applyFont="1" applyFill="1" applyBorder="1" applyAlignment="1" applyProtection="1">
      <alignment horizontal="center" vertical="center"/>
      <protection hidden="1"/>
    </xf>
    <xf numFmtId="182" fontId="9" fillId="0" borderId="73" xfId="0" applyNumberFormat="1" applyFont="1" applyFill="1" applyBorder="1" applyAlignment="1" applyProtection="1">
      <alignment vertical="center"/>
      <protection hidden="1"/>
    </xf>
    <xf numFmtId="0" fontId="10" fillId="0" borderId="1" xfId="4" applyFont="1" applyFill="1" applyBorder="1" applyAlignment="1" applyProtection="1">
      <alignment horizontal="left" indent="1"/>
      <protection hidden="1"/>
    </xf>
    <xf numFmtId="175" fontId="9" fillId="0" borderId="44" xfId="4" applyNumberFormat="1" applyFont="1" applyFill="1" applyBorder="1" applyAlignment="1" applyProtection="1">
      <protection hidden="1"/>
    </xf>
    <xf numFmtId="175" fontId="10" fillId="0" borderId="44" xfId="4" applyNumberFormat="1" applyFont="1" applyFill="1" applyBorder="1" applyAlignment="1" applyProtection="1">
      <protection hidden="1"/>
    </xf>
    <xf numFmtId="0" fontId="10" fillId="0" borderId="2" xfId="4" applyFont="1" applyFill="1" applyBorder="1" applyAlignment="1" applyProtection="1">
      <alignment horizontal="left" vertical="center" indent="1"/>
      <protection hidden="1"/>
    </xf>
    <xf numFmtId="0" fontId="9" fillId="0" borderId="9" xfId="4" applyFont="1" applyFill="1" applyBorder="1" applyProtection="1">
      <protection hidden="1"/>
    </xf>
    <xf numFmtId="0" fontId="9" fillId="0" borderId="8" xfId="4" applyFont="1" applyFill="1" applyBorder="1" applyProtection="1">
      <protection hidden="1"/>
    </xf>
    <xf numFmtId="0" fontId="10" fillId="0" borderId="2" xfId="4" applyFont="1" applyFill="1" applyBorder="1" applyAlignment="1" applyProtection="1">
      <alignment horizontal="left" vertical="center" indent="3"/>
      <protection hidden="1"/>
    </xf>
    <xf numFmtId="0" fontId="9" fillId="0" borderId="2" xfId="4" applyFont="1" applyFill="1" applyBorder="1" applyAlignment="1" applyProtection="1">
      <alignment horizontal="left" vertical="center" indent="4"/>
      <protection hidden="1"/>
    </xf>
    <xf numFmtId="175" fontId="9" fillId="0" borderId="9" xfId="4" applyNumberFormat="1" applyFont="1" applyFill="1" applyBorder="1" applyAlignment="1" applyProtection="1">
      <alignment vertical="center"/>
      <protection hidden="1"/>
    </xf>
    <xf numFmtId="175" fontId="9" fillId="0" borderId="7" xfId="4" applyNumberFormat="1" applyFont="1" applyFill="1" applyBorder="1" applyAlignment="1" applyProtection="1">
      <alignment vertical="center"/>
      <protection hidden="1"/>
    </xf>
    <xf numFmtId="175" fontId="10" fillId="0" borderId="9" xfId="4" applyNumberFormat="1" applyFont="1" applyFill="1" applyBorder="1" applyAlignment="1" applyProtection="1">
      <alignment vertical="center"/>
      <protection hidden="1"/>
    </xf>
    <xf numFmtId="175" fontId="9" fillId="0" borderId="8" xfId="4" applyNumberFormat="1" applyFont="1" applyFill="1" applyBorder="1" applyAlignment="1" applyProtection="1">
      <alignment vertical="center"/>
      <protection hidden="1"/>
    </xf>
    <xf numFmtId="175" fontId="10" fillId="0" borderId="8" xfId="4" applyNumberFormat="1" applyFont="1" applyFill="1" applyBorder="1" applyAlignment="1" applyProtection="1">
      <alignment vertical="center"/>
      <protection hidden="1"/>
    </xf>
    <xf numFmtId="0" fontId="9" fillId="0" borderId="2" xfId="4" applyFont="1" applyFill="1" applyBorder="1" applyAlignment="1" applyProtection="1">
      <alignment horizontal="left" vertical="center" indent="5"/>
      <protection hidden="1"/>
    </xf>
    <xf numFmtId="0" fontId="9" fillId="0" borderId="2" xfId="4" applyFont="1" applyFill="1" applyBorder="1" applyAlignment="1" applyProtection="1">
      <alignment horizontal="left" indent="4"/>
      <protection hidden="1"/>
    </xf>
    <xf numFmtId="175" fontId="9" fillId="0" borderId="7" xfId="4" applyNumberFormat="1" applyFont="1" applyFill="1" applyBorder="1" applyAlignment="1" applyProtection="1">
      <protection hidden="1"/>
    </xf>
    <xf numFmtId="175" fontId="9" fillId="0" borderId="8" xfId="4" applyNumberFormat="1" applyFont="1" applyFill="1" applyBorder="1" applyAlignment="1" applyProtection="1">
      <protection hidden="1"/>
    </xf>
    <xf numFmtId="175" fontId="10" fillId="0" borderId="14" xfId="4" applyNumberFormat="1" applyFont="1" applyFill="1" applyBorder="1" applyAlignment="1" applyProtection="1">
      <alignment vertical="center"/>
      <protection hidden="1"/>
    </xf>
    <xf numFmtId="175" fontId="10" fillId="0" borderId="16" xfId="4" applyNumberFormat="1" applyFont="1" applyFill="1" applyBorder="1" applyAlignment="1" applyProtection="1">
      <alignment vertical="center"/>
      <protection hidden="1"/>
    </xf>
    <xf numFmtId="0" fontId="8" fillId="0" borderId="9" xfId="4" applyFont="1" applyFill="1" applyBorder="1" applyProtection="1">
      <protection hidden="1"/>
    </xf>
    <xf numFmtId="0" fontId="8" fillId="0" borderId="8" xfId="4" applyFont="1" applyFill="1" applyBorder="1" applyProtection="1">
      <protection hidden="1"/>
    </xf>
    <xf numFmtId="0" fontId="6" fillId="2" borderId="0" xfId="0" applyNumberFormat="1" applyFont="1" applyFill="1" applyAlignment="1" applyProtection="1">
      <protection hidden="1"/>
    </xf>
    <xf numFmtId="0" fontId="6" fillId="5" borderId="36" xfId="0" applyNumberFormat="1" applyFont="1" applyFill="1" applyBorder="1" applyAlignment="1" applyProtection="1">
      <protection hidden="1"/>
    </xf>
    <xf numFmtId="0" fontId="6" fillId="5" borderId="60" xfId="0" applyNumberFormat="1" applyFont="1" applyFill="1" applyBorder="1" applyAlignment="1" applyProtection="1">
      <protection hidden="1"/>
    </xf>
    <xf numFmtId="0" fontId="6" fillId="5" borderId="37" xfId="0" applyNumberFormat="1" applyFont="1" applyFill="1" applyBorder="1" applyAlignment="1" applyProtection="1">
      <protection hidden="1"/>
    </xf>
    <xf numFmtId="0" fontId="6" fillId="5" borderId="0" xfId="0" applyFont="1" applyFill="1" applyProtection="1">
      <protection hidden="1"/>
    </xf>
    <xf numFmtId="0" fontId="6" fillId="5" borderId="0" xfId="0" applyFont="1" applyFill="1" applyAlignment="1" applyProtection="1">
      <protection hidden="1"/>
    </xf>
    <xf numFmtId="0" fontId="6" fillId="0" borderId="0" xfId="0" applyFont="1" applyProtection="1">
      <protection hidden="1"/>
    </xf>
    <xf numFmtId="0" fontId="6" fillId="4" borderId="65" xfId="0" applyFont="1" applyFill="1" applyBorder="1" applyAlignment="1" applyProtection="1">
      <alignment vertical="center"/>
      <protection hidden="1"/>
    </xf>
    <xf numFmtId="0" fontId="7" fillId="4" borderId="65" xfId="0" applyFont="1" applyFill="1" applyBorder="1" applyAlignment="1" applyProtection="1">
      <alignment horizontal="center"/>
      <protection hidden="1"/>
    </xf>
    <xf numFmtId="0" fontId="7" fillId="4" borderId="1" xfId="0" applyFont="1" applyFill="1" applyBorder="1" applyAlignment="1" applyProtection="1">
      <alignment vertical="center"/>
      <protection hidden="1"/>
    </xf>
    <xf numFmtId="0" fontId="6" fillId="2" borderId="0" xfId="0" applyFont="1" applyFill="1" applyProtection="1">
      <protection hidden="1"/>
    </xf>
    <xf numFmtId="0" fontId="6" fillId="4" borderId="0" xfId="0" applyFont="1" applyFill="1" applyBorder="1" applyAlignment="1" applyProtection="1">
      <alignment horizontal="left" indent="2"/>
      <protection hidden="1"/>
    </xf>
    <xf numFmtId="0" fontId="6" fillId="4" borderId="2" xfId="0" applyFont="1" applyFill="1" applyBorder="1" applyAlignment="1" applyProtection="1">
      <protection hidden="1"/>
    </xf>
    <xf numFmtId="0" fontId="7" fillId="9" borderId="0" xfId="0" applyFont="1" applyFill="1" applyBorder="1" applyAlignment="1" applyProtection="1">
      <alignment vertical="center"/>
      <protection hidden="1"/>
    </xf>
    <xf numFmtId="0" fontId="7" fillId="5" borderId="0" xfId="0" applyFont="1" applyFill="1" applyBorder="1" applyAlignment="1" applyProtection="1">
      <alignment horizontal="left" vertical="center" indent="1"/>
      <protection hidden="1"/>
    </xf>
    <xf numFmtId="0" fontId="7" fillId="5" borderId="0" xfId="0" applyFont="1" applyFill="1" applyBorder="1" applyAlignment="1" applyProtection="1">
      <alignment vertical="center"/>
      <protection hidden="1"/>
    </xf>
    <xf numFmtId="0" fontId="6" fillId="5" borderId="0" xfId="0" applyFont="1" applyFill="1" applyBorder="1" applyAlignment="1" applyProtection="1">
      <alignment horizontal="left" indent="2"/>
      <protection hidden="1"/>
    </xf>
    <xf numFmtId="0" fontId="7" fillId="4" borderId="0" xfId="0" applyFont="1" applyFill="1" applyBorder="1" applyAlignment="1" applyProtection="1">
      <protection hidden="1"/>
    </xf>
    <xf numFmtId="0" fontId="6" fillId="4" borderId="10" xfId="0" applyFont="1" applyFill="1" applyBorder="1" applyAlignment="1" applyProtection="1">
      <protection hidden="1"/>
    </xf>
    <xf numFmtId="0" fontId="7" fillId="4" borderId="5" xfId="0" applyFont="1" applyFill="1" applyBorder="1" applyAlignment="1" applyProtection="1">
      <alignment horizontal="center" vertical="top"/>
      <protection hidden="1"/>
    </xf>
    <xf numFmtId="0" fontId="7" fillId="4" borderId="44" xfId="0" applyFont="1" applyFill="1" applyBorder="1" applyAlignment="1" applyProtection="1">
      <alignment horizontal="center" vertical="top"/>
      <protection hidden="1"/>
    </xf>
    <xf numFmtId="0" fontId="7" fillId="4" borderId="4" xfId="0" applyFont="1" applyFill="1" applyBorder="1" applyAlignment="1" applyProtection="1">
      <alignment horizontal="center" vertical="top" wrapText="1"/>
      <protection hidden="1"/>
    </xf>
    <xf numFmtId="0" fontId="6" fillId="4" borderId="2" xfId="0" applyFont="1" applyFill="1" applyBorder="1" applyAlignment="1" applyProtection="1">
      <alignment vertical="center"/>
      <protection hidden="1"/>
    </xf>
    <xf numFmtId="0" fontId="7" fillId="4" borderId="6" xfId="0" applyFont="1" applyFill="1" applyBorder="1" applyAlignment="1" applyProtection="1">
      <alignment horizontal="center" vertical="center"/>
      <protection hidden="1"/>
    </xf>
    <xf numFmtId="0" fontId="7" fillId="4" borderId="7" xfId="0" applyFont="1" applyFill="1" applyBorder="1" applyAlignment="1" applyProtection="1">
      <alignment horizontal="center" vertical="center"/>
      <protection hidden="1"/>
    </xf>
    <xf numFmtId="0" fontId="7" fillId="4" borderId="8"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xf numFmtId="0" fontId="6" fillId="4" borderId="0" xfId="0" applyFont="1" applyFill="1" applyBorder="1" applyAlignment="1" applyProtection="1">
      <protection hidden="1"/>
    </xf>
    <xf numFmtId="0" fontId="7" fillId="2" borderId="4" xfId="0" applyFont="1" applyFill="1" applyBorder="1" applyAlignment="1" applyProtection="1">
      <alignment horizontal="center" vertical="top" wrapText="1"/>
      <protection hidden="1"/>
    </xf>
    <xf numFmtId="0" fontId="6" fillId="2" borderId="0" xfId="0" applyFont="1" applyFill="1" applyAlignment="1" applyProtection="1">
      <protection hidden="1"/>
    </xf>
    <xf numFmtId="0" fontId="6" fillId="4" borderId="11" xfId="0" applyFont="1" applyFill="1" applyBorder="1" applyProtection="1">
      <protection hidden="1"/>
    </xf>
    <xf numFmtId="0" fontId="6" fillId="4" borderId="0" xfId="0" applyFont="1" applyFill="1" applyBorder="1" applyProtection="1">
      <protection hidden="1"/>
    </xf>
    <xf numFmtId="0" fontId="7" fillId="2" borderId="24" xfId="0" applyFont="1" applyFill="1" applyBorder="1" applyAlignment="1" applyProtection="1">
      <alignment vertical="top" wrapText="1"/>
      <protection hidden="1"/>
    </xf>
    <xf numFmtId="0" fontId="7" fillId="2" borderId="41" xfId="0" applyFont="1" applyFill="1" applyBorder="1" applyAlignment="1" applyProtection="1">
      <alignment vertical="top" wrapText="1"/>
      <protection hidden="1"/>
    </xf>
    <xf numFmtId="0" fontId="7" fillId="2" borderId="22" xfId="0" applyFont="1" applyFill="1" applyBorder="1" applyAlignment="1" applyProtection="1">
      <alignment vertical="top" wrapText="1"/>
      <protection hidden="1"/>
    </xf>
    <xf numFmtId="0" fontId="7" fillId="2" borderId="25" xfId="0" applyFont="1" applyFill="1" applyBorder="1" applyAlignment="1" applyProtection="1">
      <alignment vertical="top" wrapText="1"/>
      <protection hidden="1"/>
    </xf>
    <xf numFmtId="0" fontId="6" fillId="4" borderId="7" xfId="0" applyFont="1" applyFill="1" applyBorder="1" applyAlignment="1" applyProtection="1">
      <protection hidden="1"/>
    </xf>
    <xf numFmtId="0" fontId="6" fillId="4" borderId="9" xfId="0" applyFont="1" applyFill="1" applyBorder="1" applyProtection="1">
      <protection hidden="1"/>
    </xf>
    <xf numFmtId="0" fontId="6" fillId="4" borderId="7" xfId="0" applyFont="1" applyFill="1" applyBorder="1" applyProtection="1">
      <protection hidden="1"/>
    </xf>
    <xf numFmtId="0" fontId="6" fillId="4" borderId="2" xfId="0" applyFont="1" applyFill="1" applyBorder="1" applyProtection="1">
      <protection hidden="1"/>
    </xf>
    <xf numFmtId="0" fontId="7" fillId="2" borderId="36" xfId="0" applyFont="1" applyFill="1" applyBorder="1" applyAlignment="1" applyProtection="1">
      <alignment horizontal="center" vertical="top" wrapText="1"/>
      <protection hidden="1"/>
    </xf>
    <xf numFmtId="0" fontId="7" fillId="2" borderId="28" xfId="0" applyFont="1" applyFill="1" applyBorder="1" applyAlignment="1" applyProtection="1">
      <alignment horizontal="center" vertical="top" wrapText="1"/>
      <protection hidden="1"/>
    </xf>
    <xf numFmtId="0" fontId="7" fillId="2" borderId="37" xfId="0" applyFont="1" applyFill="1" applyBorder="1" applyAlignment="1" applyProtection="1">
      <alignment horizontal="center" vertical="top" wrapText="1"/>
      <protection hidden="1"/>
    </xf>
    <xf numFmtId="178" fontId="6" fillId="0" borderId="39" xfId="0" applyNumberFormat="1" applyFont="1" applyFill="1" applyBorder="1" applyAlignment="1" applyProtection="1">
      <alignment vertical="center"/>
      <protection locked="0"/>
    </xf>
    <xf numFmtId="178" fontId="6" fillId="0" borderId="31" xfId="0" applyNumberFormat="1" applyFont="1" applyFill="1" applyBorder="1" applyAlignment="1" applyProtection="1">
      <alignment vertical="center"/>
      <protection locked="0"/>
    </xf>
    <xf numFmtId="178" fontId="6" fillId="0" borderId="40" xfId="0" applyNumberFormat="1" applyFont="1" applyFill="1" applyBorder="1" applyAlignment="1" applyProtection="1">
      <alignment vertical="center"/>
      <protection locked="0"/>
    </xf>
    <xf numFmtId="178" fontId="6" fillId="4" borderId="31" xfId="0" applyNumberFormat="1" applyFont="1" applyFill="1" applyBorder="1" applyAlignment="1" applyProtection="1">
      <alignment vertical="center"/>
      <protection hidden="1"/>
    </xf>
    <xf numFmtId="169" fontId="6" fillId="4" borderId="31" xfId="0" applyNumberFormat="1" applyFont="1" applyFill="1" applyBorder="1" applyAlignment="1" applyProtection="1">
      <alignment vertical="center"/>
      <protection hidden="1"/>
    </xf>
    <xf numFmtId="169" fontId="6" fillId="4" borderId="32" xfId="0" applyNumberFormat="1" applyFont="1" applyFill="1" applyBorder="1" applyAlignment="1" applyProtection="1">
      <alignment horizontal="right" vertical="center"/>
      <protection hidden="1"/>
    </xf>
    <xf numFmtId="180" fontId="7" fillId="4" borderId="35" xfId="0" applyNumberFormat="1" applyFont="1" applyFill="1" applyBorder="1" applyAlignment="1" applyProtection="1">
      <alignment vertical="center"/>
      <protection hidden="1"/>
    </xf>
    <xf numFmtId="0" fontId="13" fillId="4" borderId="0" xfId="0" applyFont="1" applyFill="1" applyBorder="1" applyAlignment="1" applyProtection="1">
      <alignment vertical="top"/>
      <protection hidden="1"/>
    </xf>
    <xf numFmtId="0" fontId="6" fillId="2" borderId="39" xfId="0" applyFont="1" applyFill="1" applyBorder="1" applyAlignment="1" applyProtection="1">
      <alignment horizontal="center" vertical="center"/>
      <protection hidden="1"/>
    </xf>
    <xf numFmtId="0" fontId="6" fillId="2" borderId="31" xfId="0" applyFont="1" applyFill="1" applyBorder="1" applyAlignment="1" applyProtection="1">
      <alignment horizontal="center" vertical="center"/>
      <protection hidden="1"/>
    </xf>
    <xf numFmtId="2" fontId="6" fillId="2" borderId="35" xfId="0" applyNumberFormat="1" applyFont="1" applyFill="1" applyBorder="1" applyAlignment="1" applyProtection="1">
      <alignment horizontal="center" vertical="center"/>
      <protection hidden="1"/>
    </xf>
    <xf numFmtId="180" fontId="7" fillId="4" borderId="39" xfId="0" applyNumberFormat="1" applyFont="1" applyFill="1" applyBorder="1" applyAlignment="1" applyProtection="1">
      <alignment vertical="center"/>
      <protection hidden="1"/>
    </xf>
    <xf numFmtId="180" fontId="7" fillId="4" borderId="31" xfId="0" applyNumberFormat="1" applyFont="1" applyFill="1" applyBorder="1" applyAlignment="1" applyProtection="1">
      <alignment vertical="center"/>
      <protection hidden="1"/>
    </xf>
    <xf numFmtId="180" fontId="7" fillId="4" borderId="40" xfId="0" applyNumberFormat="1" applyFont="1" applyFill="1" applyBorder="1" applyAlignment="1" applyProtection="1">
      <alignment vertical="center"/>
      <protection hidden="1"/>
    </xf>
    <xf numFmtId="0" fontId="6" fillId="2" borderId="10" xfId="0" applyFont="1" applyFill="1" applyBorder="1" applyAlignment="1" applyProtection="1">
      <protection hidden="1"/>
    </xf>
    <xf numFmtId="0" fontId="6" fillId="2" borderId="7" xfId="0" applyFont="1" applyFill="1" applyBorder="1" applyAlignment="1" applyProtection="1">
      <protection hidden="1"/>
    </xf>
    <xf numFmtId="2" fontId="6" fillId="2" borderId="7" xfId="0" applyNumberFormat="1" applyFont="1" applyFill="1" applyBorder="1" applyAlignment="1" applyProtection="1">
      <protection hidden="1"/>
    </xf>
    <xf numFmtId="2" fontId="6" fillId="2" borderId="45" xfId="0" applyNumberFormat="1" applyFont="1" applyFill="1" applyBorder="1" applyAlignment="1" applyProtection="1">
      <protection hidden="1"/>
    </xf>
    <xf numFmtId="169" fontId="6" fillId="4" borderId="10" xfId="0" applyNumberFormat="1" applyFont="1" applyFill="1" applyBorder="1" applyAlignment="1" applyProtection="1">
      <alignment vertical="center"/>
      <protection hidden="1"/>
    </xf>
    <xf numFmtId="169" fontId="6" fillId="4" borderId="7" xfId="0" applyNumberFormat="1" applyFont="1" applyFill="1" applyBorder="1" applyAlignment="1" applyProtection="1">
      <alignment vertical="center"/>
      <protection hidden="1"/>
    </xf>
    <xf numFmtId="169" fontId="6" fillId="4" borderId="11" xfId="0" applyNumberFormat="1" applyFont="1" applyFill="1" applyBorder="1" applyAlignment="1" applyProtection="1">
      <alignment vertical="center"/>
      <protection hidden="1"/>
    </xf>
    <xf numFmtId="169" fontId="6" fillId="4" borderId="0" xfId="0" applyNumberFormat="1" applyFont="1" applyFill="1" applyBorder="1" applyAlignment="1" applyProtection="1">
      <alignment vertical="center"/>
      <protection hidden="1"/>
    </xf>
    <xf numFmtId="169" fontId="6" fillId="4" borderId="9" xfId="0" applyNumberFormat="1" applyFont="1" applyFill="1" applyBorder="1" applyAlignment="1" applyProtection="1">
      <alignment vertical="center"/>
      <protection hidden="1"/>
    </xf>
    <xf numFmtId="169" fontId="6" fillId="4" borderId="2" xfId="0" applyNumberFormat="1" applyFont="1" applyFill="1" applyBorder="1" applyAlignment="1" applyProtection="1">
      <alignment vertical="center"/>
      <protection hidden="1"/>
    </xf>
    <xf numFmtId="0" fontId="6" fillId="4" borderId="0" xfId="0" applyFont="1" applyFill="1" applyBorder="1" applyAlignment="1" applyProtection="1">
      <alignment vertical="center"/>
      <protection hidden="1"/>
    </xf>
    <xf numFmtId="178" fontId="6" fillId="0" borderId="63" xfId="0" applyNumberFormat="1" applyFont="1" applyFill="1" applyBorder="1" applyAlignment="1" applyProtection="1">
      <alignment vertical="center"/>
      <protection locked="0"/>
    </xf>
    <xf numFmtId="178" fontId="6" fillId="0" borderId="49" xfId="0" applyNumberFormat="1" applyFont="1" applyFill="1" applyBorder="1" applyAlignment="1" applyProtection="1">
      <alignment vertical="center"/>
      <protection locked="0"/>
    </xf>
    <xf numFmtId="178" fontId="6" fillId="0" borderId="94" xfId="0" applyNumberFormat="1" applyFont="1" applyFill="1" applyBorder="1" applyAlignment="1" applyProtection="1">
      <alignment vertical="center"/>
      <protection locked="0"/>
    </xf>
    <xf numFmtId="178" fontId="6" fillId="0" borderId="54" xfId="0" applyNumberFormat="1" applyFont="1" applyFill="1" applyBorder="1" applyAlignment="1" applyProtection="1">
      <alignment vertical="center"/>
      <protection locked="0"/>
    </xf>
    <xf numFmtId="169" fontId="6" fillId="4" borderId="52" xfId="0" applyNumberFormat="1" applyFont="1" applyFill="1" applyBorder="1" applyAlignment="1" applyProtection="1">
      <alignment vertical="center"/>
      <protection hidden="1"/>
    </xf>
    <xf numFmtId="180" fontId="7" fillId="4" borderId="53" xfId="0" applyNumberFormat="1" applyFont="1" applyFill="1" applyBorder="1" applyAlignment="1" applyProtection="1">
      <alignment vertical="center"/>
      <protection hidden="1"/>
    </xf>
    <xf numFmtId="169" fontId="6" fillId="4" borderId="21" xfId="0" applyNumberFormat="1" applyFont="1" applyFill="1" applyBorder="1" applyAlignment="1" applyProtection="1">
      <alignment vertical="center"/>
      <protection hidden="1"/>
    </xf>
    <xf numFmtId="169" fontId="6" fillId="4" borderId="22" xfId="0" applyNumberFormat="1" applyFont="1" applyFill="1" applyBorder="1" applyAlignment="1" applyProtection="1">
      <alignment vertical="center"/>
      <protection hidden="1"/>
    </xf>
    <xf numFmtId="169" fontId="6" fillId="4" borderId="23" xfId="0" applyNumberFormat="1" applyFont="1" applyFill="1" applyBorder="1" applyAlignment="1" applyProtection="1">
      <alignment vertical="center"/>
      <protection hidden="1"/>
    </xf>
    <xf numFmtId="169" fontId="6" fillId="4" borderId="58" xfId="0" applyNumberFormat="1" applyFont="1" applyFill="1" applyBorder="1" applyAlignment="1" applyProtection="1">
      <alignment vertical="center"/>
      <protection hidden="1"/>
    </xf>
    <xf numFmtId="169" fontId="6" fillId="4" borderId="47" xfId="0" applyNumberFormat="1" applyFont="1" applyFill="1" applyBorder="1" applyAlignment="1" applyProtection="1">
      <alignment vertical="center"/>
      <protection hidden="1"/>
    </xf>
    <xf numFmtId="169" fontId="6" fillId="4" borderId="41" xfId="0" applyNumberFormat="1" applyFont="1" applyFill="1" applyBorder="1" applyAlignment="1" applyProtection="1">
      <alignment vertical="center"/>
      <protection hidden="1"/>
    </xf>
    <xf numFmtId="169" fontId="6" fillId="4" borderId="32" xfId="0" applyNumberFormat="1" applyFont="1" applyFill="1" applyBorder="1" applyAlignment="1" applyProtection="1">
      <alignment vertical="center"/>
      <protection hidden="1"/>
    </xf>
    <xf numFmtId="0" fontId="6" fillId="2" borderId="3"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2" fontId="6" fillId="2" borderId="45" xfId="0" applyNumberFormat="1" applyFont="1" applyFill="1" applyBorder="1" applyAlignment="1" applyProtection="1">
      <alignment horizontal="center" vertical="center"/>
      <protection hidden="1"/>
    </xf>
    <xf numFmtId="178" fontId="6" fillId="0" borderId="50" xfId="0" applyNumberFormat="1" applyFont="1" applyFill="1" applyBorder="1" applyAlignment="1" applyProtection="1">
      <alignment vertical="center"/>
      <protection locked="0"/>
    </xf>
    <xf numFmtId="0" fontId="6" fillId="2" borderId="27" xfId="0" applyFont="1" applyFill="1" applyBorder="1" applyAlignment="1" applyProtection="1">
      <alignment horizontal="center" vertical="center"/>
      <protection hidden="1"/>
    </xf>
    <xf numFmtId="0" fontId="6" fillId="2" borderId="42" xfId="0" applyFont="1" applyFill="1" applyBorder="1" applyAlignment="1" applyProtection="1">
      <alignment horizontal="center" vertical="center"/>
      <protection hidden="1"/>
    </xf>
    <xf numFmtId="2" fontId="6" fillId="2" borderId="29" xfId="0" applyNumberFormat="1" applyFont="1" applyFill="1" applyBorder="1" applyAlignment="1" applyProtection="1">
      <alignment horizontal="center" vertical="center"/>
      <protection hidden="1"/>
    </xf>
    <xf numFmtId="0" fontId="6" fillId="0" borderId="0" xfId="0" applyFont="1" applyFill="1" applyProtection="1">
      <protection hidden="1"/>
    </xf>
    <xf numFmtId="0" fontId="6" fillId="2" borderId="30" xfId="0" applyFont="1" applyFill="1" applyBorder="1" applyAlignment="1" applyProtection="1">
      <alignment horizontal="center" vertical="center"/>
      <protection hidden="1"/>
    </xf>
    <xf numFmtId="0" fontId="6" fillId="2" borderId="32" xfId="0" applyFont="1" applyFill="1" applyBorder="1" applyAlignment="1" applyProtection="1">
      <alignment horizontal="center" vertical="center"/>
      <protection hidden="1"/>
    </xf>
    <xf numFmtId="2" fontId="6" fillId="2" borderId="33" xfId="0" applyNumberFormat="1" applyFont="1" applyFill="1" applyBorder="1" applyAlignment="1" applyProtection="1">
      <alignment horizontal="center" vertical="center"/>
      <protection hidden="1"/>
    </xf>
    <xf numFmtId="169" fontId="6" fillId="4" borderId="36" xfId="0" applyNumberFormat="1" applyFont="1" applyFill="1" applyBorder="1" applyAlignment="1" applyProtection="1">
      <alignment vertical="center"/>
      <protection hidden="1"/>
    </xf>
    <xf numFmtId="169" fontId="6" fillId="4" borderId="28" xfId="0" applyNumberFormat="1" applyFont="1" applyFill="1" applyBorder="1" applyAlignment="1" applyProtection="1">
      <alignment vertical="center"/>
      <protection hidden="1"/>
    </xf>
    <xf numFmtId="169" fontId="6" fillId="4" borderId="37" xfId="0" applyNumberFormat="1" applyFont="1" applyFill="1" applyBorder="1" applyAlignment="1" applyProtection="1">
      <alignment vertical="center"/>
      <protection hidden="1"/>
    </xf>
    <xf numFmtId="169" fontId="6" fillId="4" borderId="60" xfId="0" applyNumberFormat="1" applyFont="1" applyFill="1" applyBorder="1" applyAlignment="1" applyProtection="1">
      <alignment vertical="center"/>
      <protection hidden="1"/>
    </xf>
    <xf numFmtId="169" fontId="6" fillId="4" borderId="62" xfId="0" applyNumberFormat="1" applyFont="1" applyFill="1" applyBorder="1" applyAlignment="1" applyProtection="1">
      <alignment vertical="center"/>
      <protection hidden="1"/>
    </xf>
    <xf numFmtId="0" fontId="6" fillId="2" borderId="39" xfId="0" applyFont="1" applyFill="1" applyBorder="1" applyAlignment="1" applyProtection="1">
      <protection hidden="1"/>
    </xf>
    <xf numFmtId="0" fontId="6" fillId="2" borderId="50" xfId="0" applyFont="1" applyFill="1" applyBorder="1" applyAlignment="1" applyProtection="1">
      <protection hidden="1"/>
    </xf>
    <xf numFmtId="2" fontId="6" fillId="2" borderId="65" xfId="0" applyNumberFormat="1" applyFont="1" applyFill="1" applyBorder="1" applyAlignment="1" applyProtection="1">
      <protection hidden="1"/>
    </xf>
    <xf numFmtId="0" fontId="6" fillId="2" borderId="45" xfId="0" applyFont="1" applyFill="1" applyBorder="1" applyAlignment="1" applyProtection="1">
      <protection hidden="1"/>
    </xf>
    <xf numFmtId="178" fontId="6" fillId="0" borderId="52" xfId="0" applyNumberFormat="1" applyFont="1" applyFill="1" applyBorder="1" applyAlignment="1" applyProtection="1">
      <alignment vertical="center"/>
      <protection locked="0"/>
    </xf>
    <xf numFmtId="0" fontId="6" fillId="2" borderId="55" xfId="0" applyFont="1" applyFill="1" applyBorder="1" applyAlignment="1" applyProtection="1">
      <alignment horizontal="center" vertical="center"/>
      <protection hidden="1"/>
    </xf>
    <xf numFmtId="0" fontId="6" fillId="2" borderId="52" xfId="0" applyFont="1" applyFill="1" applyBorder="1" applyAlignment="1" applyProtection="1">
      <alignment horizontal="center" vertical="center"/>
      <protection hidden="1"/>
    </xf>
    <xf numFmtId="2" fontId="6" fillId="2" borderId="49" xfId="0" applyNumberFormat="1" applyFont="1" applyFill="1" applyBorder="1" applyAlignment="1" applyProtection="1">
      <alignment horizontal="center" vertical="center"/>
      <protection hidden="1"/>
    </xf>
    <xf numFmtId="2" fontId="6" fillId="2" borderId="53" xfId="0" applyNumberFormat="1" applyFont="1" applyFill="1" applyBorder="1" applyAlignment="1" applyProtection="1">
      <alignment horizontal="center" vertical="center"/>
      <protection hidden="1"/>
    </xf>
    <xf numFmtId="0" fontId="7" fillId="3" borderId="0" xfId="9" applyFont="1" applyFill="1" applyBorder="1" applyAlignment="1" applyProtection="1">
      <alignment horizontal="centerContinuous" vertical="center"/>
      <protection hidden="1"/>
    </xf>
    <xf numFmtId="0" fontId="6" fillId="2" borderId="9" xfId="0" applyFont="1" applyFill="1" applyBorder="1" applyProtection="1">
      <protection hidden="1"/>
    </xf>
    <xf numFmtId="0" fontId="6" fillId="4" borderId="60" xfId="0" applyFont="1" applyFill="1" applyBorder="1" applyAlignment="1" applyProtection="1">
      <alignment vertical="center"/>
      <protection hidden="1"/>
    </xf>
    <xf numFmtId="0" fontId="6" fillId="0" borderId="0" xfId="0" applyFont="1" applyFill="1" applyAlignment="1" applyProtection="1">
      <protection hidden="1"/>
    </xf>
    <xf numFmtId="0" fontId="7" fillId="3" borderId="2"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top" wrapText="1"/>
      <protection hidden="1"/>
    </xf>
    <xf numFmtId="0" fontId="7" fillId="2" borderId="2" xfId="0" applyFont="1" applyFill="1" applyBorder="1" applyAlignment="1" applyProtection="1">
      <alignment horizontal="center" vertical="top" wrapText="1"/>
      <protection hidden="1"/>
    </xf>
    <xf numFmtId="0" fontId="7" fillId="2" borderId="8" xfId="0" applyFont="1" applyFill="1" applyBorder="1" applyAlignment="1" applyProtection="1">
      <alignment horizontal="center" vertical="top" wrapText="1"/>
      <protection hidden="1"/>
    </xf>
    <xf numFmtId="0" fontId="7" fillId="3" borderId="6"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2" borderId="65" xfId="0" applyFont="1" applyFill="1" applyBorder="1" applyAlignment="1" applyProtection="1">
      <protection hidden="1"/>
    </xf>
    <xf numFmtId="0" fontId="7" fillId="2" borderId="5" xfId="0" applyFont="1" applyFill="1" applyBorder="1" applyAlignment="1" applyProtection="1">
      <alignment horizontal="center" vertical="top" wrapText="1"/>
      <protection hidden="1"/>
    </xf>
    <xf numFmtId="0" fontId="6" fillId="4" borderId="65" xfId="0" applyFont="1" applyFill="1" applyBorder="1" applyProtection="1">
      <protection hidden="1"/>
    </xf>
    <xf numFmtId="0" fontId="7" fillId="4" borderId="65" xfId="0" applyFont="1" applyFill="1" applyBorder="1" applyAlignment="1" applyProtection="1">
      <alignment horizontal="right"/>
      <protection hidden="1"/>
    </xf>
    <xf numFmtId="0" fontId="6" fillId="4" borderId="1" xfId="0" applyFont="1" applyFill="1" applyBorder="1" applyProtection="1">
      <protection hidden="1"/>
    </xf>
    <xf numFmtId="0" fontId="7" fillId="4" borderId="62" xfId="0" applyFont="1" applyFill="1" applyBorder="1" applyAlignment="1" applyProtection="1">
      <alignment horizontal="centerContinuous" vertical="center"/>
      <protection hidden="1"/>
    </xf>
    <xf numFmtId="0" fontId="7" fillId="4" borderId="42" xfId="0" applyFont="1" applyFill="1" applyBorder="1" applyAlignment="1" applyProtection="1">
      <alignment horizontal="centerContinuous" vertical="center"/>
      <protection hidden="1"/>
    </xf>
    <xf numFmtId="0" fontId="7" fillId="4" borderId="5" xfId="0" applyFont="1" applyFill="1" applyBorder="1" applyAlignment="1" applyProtection="1">
      <alignment horizontal="center" vertical="top" wrapText="1"/>
      <protection hidden="1"/>
    </xf>
    <xf numFmtId="0" fontId="7" fillId="4" borderId="1" xfId="0" applyFont="1" applyFill="1" applyBorder="1" applyAlignment="1" applyProtection="1">
      <alignment horizontal="center" vertical="top" wrapText="1"/>
      <protection hidden="1"/>
    </xf>
    <xf numFmtId="0" fontId="7" fillId="4" borderId="45" xfId="0" applyFont="1" applyFill="1" applyBorder="1" applyAlignment="1" applyProtection="1">
      <alignment horizontal="center" vertical="top" wrapText="1"/>
      <protection hidden="1"/>
    </xf>
    <xf numFmtId="0" fontId="7" fillId="2" borderId="0" xfId="0" applyFont="1" applyFill="1" applyAlignment="1" applyProtection="1">
      <alignment vertical="center"/>
      <protection hidden="1"/>
    </xf>
    <xf numFmtId="0" fontId="7" fillId="2" borderId="0" xfId="0" applyFont="1" applyFill="1" applyAlignment="1" applyProtection="1">
      <alignment horizontal="center" vertical="center"/>
      <protection hidden="1"/>
    </xf>
    <xf numFmtId="167" fontId="6" fillId="0" borderId="62" xfId="0" applyNumberFormat="1" applyFont="1" applyFill="1" applyBorder="1" applyAlignment="1" applyProtection="1">
      <alignment vertical="center"/>
      <protection locked="0"/>
    </xf>
    <xf numFmtId="170" fontId="6" fillId="0" borderId="28" xfId="0" applyNumberFormat="1" applyFont="1" applyFill="1" applyBorder="1" applyAlignment="1" applyProtection="1">
      <alignment vertical="center"/>
      <protection locked="0"/>
    </xf>
    <xf numFmtId="167" fontId="6" fillId="0" borderId="28" xfId="0" applyNumberFormat="1" applyFont="1" applyFill="1" applyBorder="1" applyAlignment="1" applyProtection="1">
      <alignment vertical="center"/>
      <protection locked="0"/>
    </xf>
    <xf numFmtId="170" fontId="6" fillId="0" borderId="42" xfId="0" applyNumberFormat="1" applyFont="1" applyFill="1" applyBorder="1" applyAlignment="1" applyProtection="1">
      <alignment vertical="center"/>
      <protection locked="0"/>
    </xf>
    <xf numFmtId="180" fontId="7" fillId="8" borderId="62" xfId="0" applyNumberFormat="1" applyFont="1" applyFill="1" applyBorder="1" applyAlignment="1" applyProtection="1">
      <alignment vertical="center"/>
      <protection hidden="1"/>
    </xf>
    <xf numFmtId="181" fontId="7" fillId="8" borderId="74" xfId="0" applyNumberFormat="1" applyFont="1" applyFill="1" applyBorder="1" applyAlignment="1" applyProtection="1">
      <alignment vertical="center"/>
      <protection hidden="1"/>
    </xf>
    <xf numFmtId="0" fontId="6" fillId="2" borderId="77" xfId="0" applyFont="1" applyFill="1" applyBorder="1" applyAlignment="1" applyProtection="1">
      <alignment horizontal="center" vertical="center" wrapText="1"/>
      <protection hidden="1"/>
    </xf>
    <xf numFmtId="0" fontId="6" fillId="2" borderId="78" xfId="0" applyFont="1" applyFill="1" applyBorder="1" applyAlignment="1" applyProtection="1">
      <alignment horizontal="center" vertical="center" wrapText="1"/>
      <protection hidden="1"/>
    </xf>
    <xf numFmtId="0" fontId="6" fillId="2" borderId="79" xfId="0" applyFont="1" applyFill="1" applyBorder="1" applyAlignment="1" applyProtection="1">
      <alignment horizontal="center" vertical="center" wrapText="1"/>
      <protection hidden="1"/>
    </xf>
    <xf numFmtId="167" fontId="6" fillId="0" borderId="14" xfId="0" applyNumberFormat="1" applyFont="1" applyFill="1" applyBorder="1" applyAlignment="1" applyProtection="1">
      <alignment vertical="center"/>
      <protection locked="0"/>
    </xf>
    <xf numFmtId="170" fontId="6" fillId="0" borderId="13" xfId="0" applyNumberFormat="1" applyFont="1" applyFill="1" applyBorder="1" applyAlignment="1" applyProtection="1">
      <alignment vertical="center"/>
      <protection locked="0"/>
    </xf>
    <xf numFmtId="167" fontId="6" fillId="0" borderId="13" xfId="0" applyNumberFormat="1" applyFont="1" applyFill="1" applyBorder="1" applyAlignment="1" applyProtection="1">
      <alignment vertical="center"/>
      <protection locked="0"/>
    </xf>
    <xf numFmtId="170" fontId="6" fillId="0" borderId="73" xfId="0" applyNumberFormat="1" applyFont="1" applyFill="1" applyBorder="1" applyAlignment="1" applyProtection="1">
      <alignment vertical="center"/>
      <protection locked="0"/>
    </xf>
    <xf numFmtId="180" fontId="7" fillId="8" borderId="14" xfId="0" applyNumberFormat="1" applyFont="1" applyFill="1" applyBorder="1" applyAlignment="1" applyProtection="1">
      <alignment vertical="center"/>
      <protection hidden="1"/>
    </xf>
    <xf numFmtId="181" fontId="7" fillId="8" borderId="75" xfId="0" applyNumberFormat="1" applyFont="1" applyFill="1" applyBorder="1" applyAlignment="1" applyProtection="1">
      <alignment vertical="center"/>
      <protection hidden="1"/>
    </xf>
    <xf numFmtId="0" fontId="6" fillId="2" borderId="55" xfId="0" applyFont="1" applyFill="1" applyBorder="1" applyAlignment="1" applyProtection="1">
      <alignment horizontal="center" vertical="center" wrapText="1"/>
      <protection hidden="1"/>
    </xf>
    <xf numFmtId="0" fontId="6" fillId="2" borderId="52" xfId="0" applyFont="1" applyFill="1" applyBorder="1" applyAlignment="1" applyProtection="1">
      <alignment horizontal="center" vertical="center" wrapText="1"/>
      <protection hidden="1"/>
    </xf>
    <xf numFmtId="0" fontId="6" fillId="2" borderId="53" xfId="0" applyFont="1" applyFill="1" applyBorder="1" applyAlignment="1" applyProtection="1">
      <alignment horizontal="center" vertical="center" wrapText="1"/>
      <protection hidden="1"/>
    </xf>
    <xf numFmtId="0" fontId="6" fillId="4" borderId="60" xfId="0" applyFont="1" applyFill="1" applyBorder="1" applyProtection="1">
      <protection hidden="1"/>
    </xf>
    <xf numFmtId="0" fontId="6" fillId="4" borderId="42" xfId="0" applyFont="1" applyFill="1" applyBorder="1" applyProtection="1">
      <protection hidden="1"/>
    </xf>
    <xf numFmtId="0" fontId="13" fillId="4" borderId="0" xfId="0" applyFont="1" applyFill="1" applyBorder="1" applyAlignment="1" applyProtection="1">
      <alignment horizontal="left" vertical="center"/>
      <protection hidden="1"/>
    </xf>
    <xf numFmtId="0" fontId="6" fillId="4" borderId="0" xfId="0" applyFont="1" applyFill="1" applyBorder="1" applyAlignment="1" applyProtection="1">
      <alignment horizontal="centerContinuous"/>
      <protection hidden="1"/>
    </xf>
    <xf numFmtId="0" fontId="6" fillId="2" borderId="77" xfId="0" quotePrefix="1" applyFont="1" applyFill="1" applyBorder="1" applyAlignment="1" applyProtection="1">
      <alignment horizontal="center" vertical="center" wrapText="1"/>
      <protection hidden="1"/>
    </xf>
    <xf numFmtId="0" fontId="6" fillId="2" borderId="80" xfId="0" quotePrefix="1" applyFont="1" applyFill="1" applyBorder="1" applyAlignment="1" applyProtection="1">
      <alignment horizontal="center" vertical="center" wrapText="1"/>
      <protection hidden="1"/>
    </xf>
    <xf numFmtId="0" fontId="6" fillId="2" borderId="81" xfId="0" quotePrefix="1" applyFont="1" applyFill="1" applyBorder="1" applyAlignment="1" applyProtection="1">
      <alignment horizontal="center" vertical="center" wrapText="1"/>
      <protection hidden="1"/>
    </xf>
    <xf numFmtId="0" fontId="6" fillId="5" borderId="0" xfId="0" applyFont="1" applyFill="1" applyBorder="1" applyAlignment="1" applyProtection="1">
      <protection hidden="1"/>
    </xf>
    <xf numFmtId="0" fontId="6" fillId="2" borderId="55" xfId="0" quotePrefix="1" applyFont="1" applyFill="1" applyBorder="1" applyAlignment="1" applyProtection="1">
      <alignment horizontal="center" vertical="center" wrapText="1"/>
      <protection hidden="1"/>
    </xf>
    <xf numFmtId="0" fontId="6" fillId="2" borderId="49" xfId="0" quotePrefix="1" applyFont="1" applyFill="1" applyBorder="1" applyAlignment="1" applyProtection="1">
      <alignment horizontal="center" vertical="center" wrapText="1"/>
      <protection hidden="1"/>
    </xf>
    <xf numFmtId="0" fontId="6" fillId="2" borderId="51" xfId="0" quotePrefix="1" applyFont="1" applyFill="1" applyBorder="1" applyAlignment="1" applyProtection="1">
      <alignment horizontal="center" vertical="center" wrapText="1"/>
      <protection hidden="1"/>
    </xf>
    <xf numFmtId="0" fontId="6" fillId="2" borderId="0" xfId="0" quotePrefix="1" applyFont="1" applyFill="1" applyBorder="1" applyAlignment="1" applyProtection="1">
      <alignment horizontal="center" vertical="center" wrapText="1"/>
      <protection hidden="1"/>
    </xf>
    <xf numFmtId="0" fontId="7" fillId="4" borderId="1" xfId="0" applyFont="1" applyFill="1" applyBorder="1" applyAlignment="1" applyProtection="1">
      <alignment horizontal="right"/>
      <protection hidden="1"/>
    </xf>
    <xf numFmtId="0" fontId="6" fillId="4" borderId="0" xfId="0" applyFont="1" applyFill="1" applyBorder="1" applyAlignment="1" applyProtection="1">
      <alignment vertical="top"/>
      <protection hidden="1"/>
    </xf>
    <xf numFmtId="0" fontId="6" fillId="4" borderId="2" xfId="0" applyFont="1" applyFill="1" applyBorder="1" applyAlignment="1" applyProtection="1">
      <alignment vertical="top"/>
      <protection hidden="1"/>
    </xf>
    <xf numFmtId="0" fontId="14" fillId="4" borderId="0" xfId="0" applyFont="1" applyFill="1" applyBorder="1" applyAlignment="1" applyProtection="1">
      <alignment horizontal="center" vertical="center"/>
      <protection hidden="1"/>
    </xf>
    <xf numFmtId="0" fontId="6" fillId="5" borderId="2" xfId="0" applyFont="1" applyFill="1" applyBorder="1" applyProtection="1">
      <protection hidden="1"/>
    </xf>
    <xf numFmtId="0" fontId="16" fillId="4" borderId="0" xfId="0" applyFont="1" applyFill="1" applyBorder="1" applyAlignment="1" applyProtection="1">
      <alignment horizontal="left"/>
      <protection hidden="1"/>
    </xf>
    <xf numFmtId="0" fontId="6" fillId="4" borderId="0" xfId="0" applyFont="1" applyFill="1" applyBorder="1" applyAlignment="1" applyProtection="1">
      <alignment horizontal="right"/>
      <protection hidden="1"/>
    </xf>
    <xf numFmtId="0" fontId="6" fillId="4" borderId="2" xfId="0" applyFont="1" applyFill="1" applyBorder="1" applyAlignment="1" applyProtection="1">
      <alignment horizontal="right"/>
      <protection hidden="1"/>
    </xf>
    <xf numFmtId="181" fontId="7" fillId="4" borderId="29" xfId="0" applyNumberFormat="1" applyFont="1" applyFill="1" applyBorder="1" applyAlignment="1" applyProtection="1">
      <alignment vertical="center"/>
      <protection hidden="1"/>
    </xf>
    <xf numFmtId="181" fontId="7" fillId="4" borderId="49" xfId="0" applyNumberFormat="1" applyFont="1" applyFill="1" applyBorder="1" applyAlignment="1" applyProtection="1">
      <alignment vertical="center"/>
      <protection hidden="1"/>
    </xf>
    <xf numFmtId="181" fontId="7" fillId="4" borderId="51" xfId="0" applyNumberFormat="1" applyFont="1" applyFill="1" applyBorder="1" applyAlignment="1" applyProtection="1">
      <alignment vertical="center"/>
      <protection hidden="1"/>
    </xf>
    <xf numFmtId="0" fontId="13" fillId="4" borderId="60" xfId="0" applyFont="1" applyFill="1" applyBorder="1" applyAlignment="1" applyProtection="1">
      <alignment horizontal="left" vertical="center"/>
      <protection hidden="1"/>
    </xf>
    <xf numFmtId="0" fontId="6" fillId="4" borderId="60" xfId="0" applyFont="1" applyFill="1" applyBorder="1" applyAlignment="1" applyProtection="1">
      <alignment horizontal="centerContinuous" vertical="center"/>
      <protection hidden="1"/>
    </xf>
    <xf numFmtId="0" fontId="6" fillId="4" borderId="42" xfId="0" applyFont="1" applyFill="1" applyBorder="1" applyAlignment="1" applyProtection="1">
      <alignment horizontal="centerContinuous" vertical="center"/>
      <protection hidden="1"/>
    </xf>
    <xf numFmtId="182" fontId="6" fillId="0" borderId="42" xfId="0" applyNumberFormat="1" applyFont="1" applyFill="1" applyBorder="1" applyAlignment="1" applyProtection="1">
      <alignment vertical="center"/>
      <protection locked="0"/>
    </xf>
    <xf numFmtId="182" fontId="6" fillId="0" borderId="28" xfId="0" applyNumberFormat="1" applyFont="1" applyFill="1" applyBorder="1" applyAlignment="1" applyProtection="1">
      <alignment vertical="center"/>
      <protection locked="0"/>
    </xf>
    <xf numFmtId="0" fontId="7" fillId="4" borderId="2" xfId="0" applyFont="1" applyFill="1" applyBorder="1" applyAlignment="1" applyProtection="1">
      <alignment horizontal="center" vertical="center" wrapText="1"/>
      <protection hidden="1"/>
    </xf>
    <xf numFmtId="0" fontId="7" fillId="4" borderId="7" xfId="0"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wrapText="1"/>
      <protection hidden="1"/>
    </xf>
    <xf numFmtId="0" fontId="7" fillId="4" borderId="44" xfId="0" applyFont="1" applyFill="1" applyBorder="1" applyAlignment="1" applyProtection="1">
      <alignment horizontal="center" vertical="top" wrapText="1"/>
      <protection hidden="1"/>
    </xf>
    <xf numFmtId="0" fontId="7" fillId="4" borderId="0" xfId="0" applyFont="1" applyFill="1" applyBorder="1" applyAlignment="1" applyProtection="1">
      <alignment horizontal="center" vertical="top"/>
      <protection hidden="1"/>
    </xf>
    <xf numFmtId="0" fontId="7" fillId="4" borderId="7" xfId="0" applyFont="1" applyFill="1" applyBorder="1" applyAlignment="1" applyProtection="1">
      <alignment horizontal="center" vertical="top"/>
      <protection hidden="1"/>
    </xf>
    <xf numFmtId="0" fontId="7" fillId="4" borderId="7" xfId="0" applyFont="1" applyFill="1" applyBorder="1" applyAlignment="1" applyProtection="1">
      <alignment horizontal="center" vertical="top" wrapText="1"/>
      <protection hidden="1"/>
    </xf>
    <xf numFmtId="0" fontId="6" fillId="3" borderId="65" xfId="0" applyFont="1" applyFill="1" applyBorder="1" applyAlignment="1" applyProtection="1">
      <alignment vertical="center"/>
      <protection hidden="1"/>
    </xf>
    <xf numFmtId="0" fontId="7" fillId="3" borderId="65" xfId="0" applyFont="1" applyFill="1" applyBorder="1" applyAlignment="1" applyProtection="1">
      <alignment vertical="center"/>
      <protection hidden="1"/>
    </xf>
    <xf numFmtId="0" fontId="7" fillId="3" borderId="1" xfId="0" applyFont="1" applyFill="1" applyBorder="1" applyAlignment="1" applyProtection="1">
      <alignment horizontal="right" vertical="center" indent="1"/>
      <protection hidden="1"/>
    </xf>
    <xf numFmtId="0" fontId="6" fillId="3" borderId="0" xfId="0" applyFont="1" applyFill="1" applyBorder="1" applyAlignment="1" applyProtection="1">
      <alignment horizontal="left" vertical="center" indent="2"/>
      <protection hidden="1"/>
    </xf>
    <xf numFmtId="0" fontId="6" fillId="3" borderId="0" xfId="0" applyFont="1" applyFill="1" applyBorder="1" applyAlignment="1" applyProtection="1">
      <alignment horizontal="left" vertical="center"/>
      <protection hidden="1"/>
    </xf>
    <xf numFmtId="0" fontId="6" fillId="3" borderId="2" xfId="0" applyFont="1" applyFill="1" applyBorder="1" applyAlignment="1" applyProtection="1">
      <alignment horizontal="left" vertical="center"/>
      <protection hidden="1"/>
    </xf>
    <xf numFmtId="0" fontId="6" fillId="3" borderId="0" xfId="0" applyFont="1" applyFill="1" applyBorder="1" applyAlignment="1" applyProtection="1">
      <alignment vertical="top"/>
      <protection hidden="1"/>
    </xf>
    <xf numFmtId="0" fontId="6" fillId="3" borderId="2" xfId="0" applyFont="1" applyFill="1" applyBorder="1" applyAlignment="1" applyProtection="1">
      <alignment vertical="top"/>
      <protection hidden="1"/>
    </xf>
    <xf numFmtId="0" fontId="6" fillId="3" borderId="0" xfId="0" applyFont="1" applyFill="1" applyBorder="1" applyProtection="1">
      <protection hidden="1"/>
    </xf>
    <xf numFmtId="0" fontId="6" fillId="3" borderId="2" xfId="0" applyFont="1" applyFill="1" applyBorder="1" applyProtection="1">
      <protection hidden="1"/>
    </xf>
    <xf numFmtId="0" fontId="7" fillId="3" borderId="5"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protection hidden="1"/>
    </xf>
    <xf numFmtId="0" fontId="6" fillId="3" borderId="6" xfId="0" applyFont="1" applyFill="1" applyBorder="1" applyProtection="1">
      <protection hidden="1"/>
    </xf>
    <xf numFmtId="0" fontId="6" fillId="3" borderId="7" xfId="0" applyFont="1" applyFill="1" applyBorder="1" applyProtection="1">
      <protection hidden="1"/>
    </xf>
    <xf numFmtId="0" fontId="6" fillId="3" borderId="11" xfId="0" applyFont="1" applyFill="1" applyBorder="1" applyProtection="1">
      <protection hidden="1"/>
    </xf>
    <xf numFmtId="0" fontId="6" fillId="2" borderId="0" xfId="0" applyFont="1" applyFill="1" applyBorder="1" applyAlignment="1" applyProtection="1">
      <protection hidden="1"/>
    </xf>
    <xf numFmtId="180" fontId="17" fillId="2" borderId="33" xfId="0" applyNumberFormat="1" applyFont="1" applyFill="1" applyBorder="1" applyAlignment="1" applyProtection="1">
      <alignment vertical="center"/>
      <protection hidden="1"/>
    </xf>
    <xf numFmtId="169" fontId="6" fillId="3" borderId="2" xfId="0" applyNumberFormat="1" applyFont="1" applyFill="1" applyBorder="1" applyProtection="1">
      <protection hidden="1"/>
    </xf>
    <xf numFmtId="169" fontId="6" fillId="3" borderId="7" xfId="0" applyNumberFormat="1" applyFont="1" applyFill="1" applyBorder="1" applyAlignment="1" applyProtection="1">
      <alignment horizontal="center" vertical="center"/>
      <protection hidden="1"/>
    </xf>
    <xf numFmtId="169" fontId="6" fillId="3" borderId="0" xfId="0" applyNumberFormat="1" applyFont="1" applyFill="1" applyBorder="1" applyAlignment="1" applyProtection="1">
      <alignment horizontal="center" vertical="center"/>
      <protection hidden="1"/>
    </xf>
    <xf numFmtId="178" fontId="6" fillId="0" borderId="5" xfId="0" applyNumberFormat="1" applyFont="1" applyFill="1" applyBorder="1" applyAlignment="1" applyProtection="1">
      <alignment vertical="center"/>
      <protection locked="0"/>
    </xf>
    <xf numFmtId="180" fontId="7" fillId="2" borderId="31" xfId="0" applyNumberFormat="1" applyFont="1" applyFill="1" applyBorder="1" applyAlignment="1" applyProtection="1">
      <alignment vertical="center"/>
      <protection hidden="1"/>
    </xf>
    <xf numFmtId="169" fontId="6" fillId="3" borderId="5" xfId="0" applyNumberFormat="1" applyFont="1" applyFill="1" applyBorder="1" applyAlignment="1" applyProtection="1">
      <alignment horizontal="center" vertical="center"/>
      <protection hidden="1"/>
    </xf>
    <xf numFmtId="169" fontId="6" fillId="3" borderId="65" xfId="0" applyNumberFormat="1" applyFont="1" applyFill="1" applyBorder="1" applyAlignment="1" applyProtection="1">
      <alignment horizontal="center" vertical="center"/>
      <protection hidden="1"/>
    </xf>
    <xf numFmtId="170" fontId="6" fillId="2" borderId="7" xfId="0" applyNumberFormat="1" applyFont="1" applyFill="1" applyBorder="1" applyAlignment="1" applyProtection="1">
      <alignment vertical="center"/>
      <protection hidden="1"/>
    </xf>
    <xf numFmtId="170" fontId="6" fillId="2" borderId="11" xfId="0" applyNumberFormat="1" applyFont="1" applyFill="1" applyBorder="1" applyAlignment="1" applyProtection="1">
      <alignment vertical="center"/>
      <protection hidden="1"/>
    </xf>
    <xf numFmtId="170" fontId="6" fillId="2" borderId="5" xfId="0" applyNumberFormat="1" applyFont="1" applyFill="1" applyBorder="1" applyAlignment="1" applyProtection="1">
      <alignment vertical="center"/>
      <protection hidden="1"/>
    </xf>
    <xf numFmtId="170" fontId="6" fillId="2" borderId="45" xfId="0" applyNumberFormat="1" applyFont="1" applyFill="1" applyBorder="1" applyAlignment="1" applyProtection="1">
      <alignment vertical="center"/>
      <protection hidden="1"/>
    </xf>
    <xf numFmtId="0" fontId="6" fillId="0" borderId="0" xfId="0" applyNumberFormat="1" applyFont="1" applyFill="1" applyAlignment="1" applyProtection="1">
      <protection hidden="1"/>
    </xf>
    <xf numFmtId="180" fontId="7" fillId="2" borderId="49" xfId="0" applyNumberFormat="1" applyFont="1" applyFill="1" applyBorder="1" applyAlignment="1" applyProtection="1">
      <alignment vertical="center"/>
      <protection hidden="1"/>
    </xf>
    <xf numFmtId="0" fontId="6" fillId="3" borderId="2" xfId="0" applyFont="1" applyFill="1" applyBorder="1" applyAlignment="1" applyProtection="1">
      <alignment horizontal="centerContinuous" vertical="center"/>
      <protection hidden="1"/>
    </xf>
    <xf numFmtId="172" fontId="6" fillId="5" borderId="0" xfId="4" applyNumberFormat="1" applyFont="1" applyFill="1" applyBorder="1" applyAlignment="1" applyProtection="1">
      <protection hidden="1"/>
    </xf>
    <xf numFmtId="0" fontId="6" fillId="9" borderId="0" xfId="4" applyFont="1" applyFill="1" applyBorder="1" applyAlignment="1" applyProtection="1">
      <alignment vertical="top"/>
      <protection hidden="1"/>
    </xf>
    <xf numFmtId="0" fontId="6" fillId="5" borderId="0" xfId="4" applyFont="1" applyFill="1" applyBorder="1" applyAlignment="1" applyProtection="1">
      <alignment vertical="top"/>
      <protection hidden="1"/>
    </xf>
    <xf numFmtId="0" fontId="7" fillId="5" borderId="0" xfId="0" applyNumberFormat="1" applyFont="1" applyFill="1" applyBorder="1" applyAlignment="1" applyProtection="1">
      <alignment horizontal="right" vertical="center" indent="1"/>
      <protection hidden="1"/>
    </xf>
    <xf numFmtId="0" fontId="6" fillId="5" borderId="0" xfId="4" applyFont="1" applyFill="1" applyBorder="1" applyAlignment="1" applyProtection="1">
      <protection hidden="1"/>
    </xf>
    <xf numFmtId="0" fontId="7" fillId="6" borderId="9" xfId="0" applyFont="1" applyFill="1" applyBorder="1" applyAlignment="1" applyProtection="1">
      <alignment horizontal="centerContinuous"/>
      <protection hidden="1"/>
    </xf>
    <xf numFmtId="172" fontId="6" fillId="6" borderId="0" xfId="0" applyNumberFormat="1" applyFont="1" applyFill="1" applyBorder="1" applyAlignment="1" applyProtection="1">
      <protection hidden="1"/>
    </xf>
    <xf numFmtId="172" fontId="7" fillId="6" borderId="0" xfId="0" applyNumberFormat="1" applyFont="1" applyFill="1" applyBorder="1" applyAlignment="1" applyProtection="1">
      <alignment vertical="center" wrapText="1"/>
      <protection hidden="1"/>
    </xf>
    <xf numFmtId="172" fontId="7" fillId="6" borderId="0" xfId="0" applyNumberFormat="1" applyFont="1" applyFill="1" applyBorder="1" applyAlignment="1" applyProtection="1">
      <alignment horizontal="right" vertical="center" indent="1"/>
      <protection hidden="1"/>
    </xf>
    <xf numFmtId="172" fontId="7" fillId="11" borderId="0" xfId="0" applyNumberFormat="1" applyFont="1" applyFill="1" applyBorder="1" applyAlignment="1" applyProtection="1">
      <alignment horizontal="right" vertical="center" indent="1"/>
      <protection hidden="1"/>
    </xf>
    <xf numFmtId="172" fontId="7" fillId="11" borderId="0" xfId="0" applyNumberFormat="1" applyFont="1" applyFill="1" applyBorder="1" applyAlignment="1" applyProtection="1">
      <alignment vertical="center" wrapText="1"/>
      <protection hidden="1"/>
    </xf>
    <xf numFmtId="0" fontId="18" fillId="6" borderId="9" xfId="0" applyFont="1" applyFill="1" applyBorder="1" applyAlignment="1" applyProtection="1">
      <protection hidden="1"/>
    </xf>
    <xf numFmtId="0" fontId="18" fillId="11" borderId="0" xfId="0" applyFont="1" applyFill="1" applyBorder="1" applyAlignment="1" applyProtection="1">
      <protection hidden="1"/>
    </xf>
    <xf numFmtId="0" fontId="6" fillId="7" borderId="0" xfId="4" applyFont="1" applyFill="1" applyBorder="1" applyAlignment="1" applyProtection="1">
      <protection hidden="1"/>
    </xf>
    <xf numFmtId="0" fontId="18" fillId="6" borderId="0" xfId="0" applyFont="1" applyFill="1" applyBorder="1" applyAlignment="1" applyProtection="1">
      <protection hidden="1"/>
    </xf>
    <xf numFmtId="0" fontId="19" fillId="5" borderId="26" xfId="4" applyFont="1" applyFill="1" applyBorder="1" applyAlignment="1" applyProtection="1">
      <alignment vertical="center"/>
      <protection hidden="1"/>
    </xf>
    <xf numFmtId="0" fontId="7" fillId="5" borderId="0" xfId="4" applyFont="1" applyFill="1" applyBorder="1" applyAlignment="1" applyProtection="1">
      <alignment horizontal="center" vertical="center"/>
      <protection hidden="1"/>
    </xf>
    <xf numFmtId="0" fontId="12" fillId="6" borderId="9" xfId="0" applyFont="1" applyFill="1" applyBorder="1" applyAlignment="1" applyProtection="1">
      <alignment vertical="center"/>
      <protection hidden="1"/>
    </xf>
    <xf numFmtId="0" fontId="12" fillId="11" borderId="0" xfId="0" applyFont="1" applyFill="1" applyBorder="1" applyAlignment="1" applyProtection="1">
      <alignment vertical="center"/>
      <protection hidden="1"/>
    </xf>
    <xf numFmtId="0" fontId="6" fillId="5" borderId="12" xfId="4" applyFont="1" applyFill="1" applyBorder="1" applyAlignment="1" applyProtection="1">
      <alignment vertical="center"/>
      <protection hidden="1"/>
    </xf>
    <xf numFmtId="0" fontId="6" fillId="5" borderId="0" xfId="4" applyFont="1" applyFill="1" applyBorder="1" applyProtection="1">
      <protection hidden="1"/>
    </xf>
    <xf numFmtId="0" fontId="12" fillId="6" borderId="9" xfId="0" applyFont="1" applyFill="1" applyBorder="1" applyAlignment="1" applyProtection="1">
      <protection hidden="1"/>
    </xf>
    <xf numFmtId="0" fontId="12" fillId="11" borderId="0" xfId="0" applyFont="1" applyFill="1" applyBorder="1" applyAlignment="1" applyProtection="1">
      <protection hidden="1"/>
    </xf>
    <xf numFmtId="172" fontId="21" fillId="11" borderId="4" xfId="0" applyNumberFormat="1" applyFont="1" applyFill="1" applyBorder="1" applyAlignment="1" applyProtection="1">
      <alignment horizontal="center" vertical="top" wrapText="1"/>
      <protection hidden="1"/>
    </xf>
    <xf numFmtId="0" fontId="6" fillId="5" borderId="12" xfId="0" applyFont="1" applyFill="1" applyBorder="1" applyAlignment="1" applyProtection="1">
      <alignment vertical="center"/>
      <protection hidden="1"/>
    </xf>
    <xf numFmtId="0" fontId="7" fillId="5" borderId="31" xfId="0" applyNumberFormat="1" applyFont="1" applyFill="1" applyBorder="1" applyAlignment="1" applyProtection="1">
      <alignment horizontal="center" vertical="center"/>
      <protection hidden="1"/>
    </xf>
    <xf numFmtId="0" fontId="7" fillId="5" borderId="44" xfId="0" applyNumberFormat="1" applyFont="1" applyFill="1" applyBorder="1" applyAlignment="1" applyProtection="1">
      <alignment horizontal="center" vertical="top"/>
      <protection hidden="1"/>
    </xf>
    <xf numFmtId="0" fontId="7" fillId="5" borderId="4" xfId="0" applyNumberFormat="1" applyFont="1" applyFill="1" applyBorder="1" applyAlignment="1" applyProtection="1">
      <alignment horizontal="center" vertical="top"/>
      <protection hidden="1"/>
    </xf>
    <xf numFmtId="0" fontId="7" fillId="5" borderId="7" xfId="4" applyFont="1" applyFill="1" applyBorder="1" applyAlignment="1" applyProtection="1">
      <alignment horizontal="center" vertical="top"/>
      <protection hidden="1"/>
    </xf>
    <xf numFmtId="0" fontId="7" fillId="5" borderId="0" xfId="4" applyFont="1" applyFill="1" applyBorder="1" applyAlignment="1" applyProtection="1">
      <alignment horizontal="center" vertical="top"/>
      <protection hidden="1"/>
    </xf>
    <xf numFmtId="0" fontId="7" fillId="5" borderId="5" xfId="4" applyFont="1" applyFill="1" applyBorder="1" applyAlignment="1" applyProtection="1">
      <alignment horizontal="center" vertical="top"/>
      <protection hidden="1"/>
    </xf>
    <xf numFmtId="0" fontId="7" fillId="5" borderId="4" xfId="4" applyFont="1" applyFill="1" applyBorder="1" applyAlignment="1" applyProtection="1">
      <alignment horizontal="center" vertical="top"/>
      <protection hidden="1"/>
    </xf>
    <xf numFmtId="0" fontId="22" fillId="12" borderId="8" xfId="0" applyFont="1" applyFill="1" applyBorder="1" applyAlignment="1" applyProtection="1">
      <alignment horizontal="center" vertical="top" wrapText="1"/>
      <protection hidden="1"/>
    </xf>
    <xf numFmtId="0" fontId="19" fillId="5" borderId="12" xfId="4" applyFont="1" applyFill="1" applyBorder="1" applyAlignment="1" applyProtection="1">
      <alignment horizontal="left" vertical="center" indent="1"/>
      <protection hidden="1"/>
    </xf>
    <xf numFmtId="0" fontId="7" fillId="5" borderId="5" xfId="0" applyFont="1" applyFill="1" applyBorder="1" applyAlignment="1" applyProtection="1">
      <alignment horizontal="center" vertical="top" wrapText="1"/>
      <protection hidden="1"/>
    </xf>
    <xf numFmtId="0" fontId="7" fillId="5" borderId="44" xfId="0" applyFont="1" applyFill="1" applyBorder="1" applyAlignment="1" applyProtection="1">
      <alignment horizontal="center" vertical="top"/>
      <protection hidden="1"/>
    </xf>
    <xf numFmtId="0" fontId="7" fillId="5" borderId="4" xfId="0" applyFont="1" applyFill="1" applyBorder="1" applyAlignment="1" applyProtection="1">
      <alignment horizontal="center" vertical="top"/>
      <protection hidden="1"/>
    </xf>
    <xf numFmtId="0" fontId="6" fillId="5" borderId="7" xfId="0" applyFont="1" applyFill="1" applyBorder="1" applyAlignment="1" applyProtection="1">
      <protection hidden="1"/>
    </xf>
    <xf numFmtId="0" fontId="6" fillId="5" borderId="8" xfId="0" applyFont="1" applyFill="1" applyBorder="1" applyAlignment="1" applyProtection="1">
      <protection hidden="1"/>
    </xf>
    <xf numFmtId="0" fontId="6" fillId="5" borderId="7" xfId="4" applyFont="1" applyFill="1" applyBorder="1" applyProtection="1">
      <protection hidden="1"/>
    </xf>
    <xf numFmtId="0" fontId="6" fillId="5" borderId="8" xfId="4" applyFont="1" applyFill="1" applyBorder="1" applyProtection="1">
      <protection hidden="1"/>
    </xf>
    <xf numFmtId="0" fontId="6" fillId="7" borderId="9" xfId="4" applyFont="1" applyFill="1" applyBorder="1" applyProtection="1">
      <protection hidden="1"/>
    </xf>
    <xf numFmtId="0" fontId="6" fillId="12" borderId="0" xfId="4" applyFont="1" applyFill="1" applyBorder="1" applyProtection="1">
      <protection hidden="1"/>
    </xf>
    <xf numFmtId="0" fontId="6" fillId="12" borderId="11" xfId="4" applyFont="1" applyFill="1" applyBorder="1" applyProtection="1">
      <protection hidden="1"/>
    </xf>
    <xf numFmtId="0" fontId="6" fillId="5" borderId="12" xfId="0" applyFont="1" applyFill="1" applyBorder="1" applyAlignment="1" applyProtection="1">
      <protection hidden="1"/>
    </xf>
    <xf numFmtId="0" fontId="7" fillId="5" borderId="10" xfId="0" applyFont="1" applyFill="1" applyBorder="1" applyAlignment="1" applyProtection="1">
      <alignment horizontal="center" vertical="center" wrapText="1"/>
      <protection hidden="1"/>
    </xf>
    <xf numFmtId="0" fontId="7" fillId="5" borderId="9" xfId="0" applyFont="1" applyFill="1" applyBorder="1" applyAlignment="1" applyProtection="1">
      <alignment horizontal="center" vertical="center" wrapText="1"/>
      <protection hidden="1"/>
    </xf>
    <xf numFmtId="0" fontId="7" fillId="5" borderId="7" xfId="0" applyFont="1" applyFill="1" applyBorder="1" applyAlignment="1" applyProtection="1">
      <alignment horizontal="center" vertical="center" wrapText="1"/>
      <protection hidden="1"/>
    </xf>
    <xf numFmtId="0" fontId="7" fillId="5" borderId="8" xfId="0" applyFont="1" applyFill="1" applyBorder="1" applyAlignment="1" applyProtection="1">
      <alignment horizontal="center" vertical="center" wrapText="1"/>
      <protection hidden="1"/>
    </xf>
    <xf numFmtId="0" fontId="7" fillId="5" borderId="0" xfId="0" applyFont="1" applyFill="1" applyBorder="1" applyAlignment="1" applyProtection="1">
      <alignment horizontal="center" vertical="center" wrapText="1"/>
      <protection hidden="1"/>
    </xf>
    <xf numFmtId="0" fontId="7" fillId="5" borderId="6" xfId="0" applyFont="1" applyFill="1" applyBorder="1" applyAlignment="1" applyProtection="1">
      <alignment horizontal="center" vertical="center" wrapText="1"/>
      <protection hidden="1"/>
    </xf>
    <xf numFmtId="0" fontId="7" fillId="5" borderId="11" xfId="0" applyFont="1" applyFill="1" applyBorder="1" applyAlignment="1" applyProtection="1">
      <alignment horizontal="center" vertical="center" wrapText="1"/>
      <protection hidden="1"/>
    </xf>
    <xf numFmtId="0" fontId="7" fillId="5" borderId="12" xfId="0" applyFont="1" applyFill="1" applyBorder="1" applyAlignment="1" applyProtection="1">
      <alignment horizontal="center" vertical="center" wrapText="1"/>
      <protection hidden="1"/>
    </xf>
    <xf numFmtId="0" fontId="7" fillId="7" borderId="10" xfId="0" applyFont="1" applyFill="1" applyBorder="1" applyAlignment="1" applyProtection="1">
      <alignment horizontal="center" vertical="center" wrapText="1"/>
      <protection hidden="1"/>
    </xf>
    <xf numFmtId="0" fontId="7" fillId="7" borderId="7" xfId="0" applyFont="1" applyFill="1" applyBorder="1" applyAlignment="1" applyProtection="1">
      <alignment horizontal="center" vertical="center" wrapText="1"/>
      <protection hidden="1"/>
    </xf>
    <xf numFmtId="0" fontId="7" fillId="12" borderId="10" xfId="0" applyFont="1" applyFill="1" applyBorder="1" applyAlignment="1" applyProtection="1">
      <alignment horizontal="center" vertical="center" wrapText="1"/>
      <protection hidden="1"/>
    </xf>
    <xf numFmtId="0" fontId="7" fillId="12" borderId="7" xfId="0" applyFont="1" applyFill="1" applyBorder="1" applyAlignment="1" applyProtection="1">
      <alignment horizontal="center" vertical="center" wrapText="1"/>
      <protection hidden="1"/>
    </xf>
    <xf numFmtId="0" fontId="7" fillId="12" borderId="11" xfId="0" applyFont="1" applyFill="1" applyBorder="1" applyAlignment="1" applyProtection="1">
      <alignment horizontal="center" vertical="center" wrapText="1"/>
      <protection hidden="1"/>
    </xf>
    <xf numFmtId="0" fontId="7" fillId="5" borderId="10" xfId="0" applyFont="1" applyFill="1" applyBorder="1" applyAlignment="1" applyProtection="1">
      <alignment horizontal="center" vertical="top" wrapText="1"/>
      <protection hidden="1"/>
    </xf>
    <xf numFmtId="0" fontId="7" fillId="5" borderId="7" xfId="0" applyFont="1" applyFill="1" applyBorder="1" applyAlignment="1" applyProtection="1">
      <alignment horizontal="center" vertical="top" wrapText="1"/>
      <protection hidden="1"/>
    </xf>
    <xf numFmtId="0" fontId="7" fillId="5" borderId="9" xfId="0" applyFont="1" applyFill="1" applyBorder="1" applyAlignment="1" applyProtection="1">
      <alignment horizontal="center" vertical="top" wrapText="1"/>
      <protection hidden="1"/>
    </xf>
    <xf numFmtId="0" fontId="7" fillId="5" borderId="6" xfId="0" applyFont="1" applyFill="1" applyBorder="1" applyAlignment="1" applyProtection="1">
      <alignment horizontal="center" vertical="top" wrapText="1"/>
      <protection hidden="1"/>
    </xf>
    <xf numFmtId="0" fontId="7" fillId="5" borderId="8" xfId="0" applyFont="1" applyFill="1" applyBorder="1" applyAlignment="1" applyProtection="1">
      <alignment horizontal="center" vertical="top" wrapText="1"/>
      <protection hidden="1"/>
    </xf>
    <xf numFmtId="0" fontId="7" fillId="5" borderId="0" xfId="0" applyFont="1" applyFill="1" applyBorder="1" applyAlignment="1" applyProtection="1">
      <alignment horizontal="center" vertical="top" wrapText="1"/>
      <protection hidden="1"/>
    </xf>
    <xf numFmtId="0" fontId="7" fillId="5" borderId="12" xfId="0" applyFont="1" applyFill="1" applyBorder="1" applyAlignment="1" applyProtection="1">
      <alignment horizontal="center" vertical="top" wrapText="1"/>
      <protection hidden="1"/>
    </xf>
    <xf numFmtId="0" fontId="20" fillId="7" borderId="6" xfId="0" applyFont="1" applyFill="1" applyBorder="1" applyAlignment="1" applyProtection="1">
      <alignment horizontal="center" vertical="top" wrapText="1"/>
      <protection hidden="1"/>
    </xf>
    <xf numFmtId="0" fontId="20" fillId="7" borderId="7" xfId="0" applyFont="1" applyFill="1" applyBorder="1" applyAlignment="1" applyProtection="1">
      <alignment horizontal="center" vertical="top" wrapText="1"/>
      <protection hidden="1"/>
    </xf>
    <xf numFmtId="0" fontId="20" fillId="7" borderId="8" xfId="0" applyFont="1" applyFill="1" applyBorder="1" applyAlignment="1" applyProtection="1">
      <alignment horizontal="center" vertical="top" wrapText="1"/>
      <protection hidden="1"/>
    </xf>
    <xf numFmtId="0" fontId="21" fillId="12" borderId="6" xfId="0" applyFont="1" applyFill="1" applyBorder="1" applyAlignment="1" applyProtection="1">
      <alignment horizontal="center" vertical="top" wrapText="1"/>
      <protection hidden="1"/>
    </xf>
    <xf numFmtId="0" fontId="21" fillId="12" borderId="7" xfId="0" applyFont="1" applyFill="1" applyBorder="1" applyAlignment="1" applyProtection="1">
      <alignment horizontal="center" vertical="top" wrapText="1"/>
      <protection hidden="1"/>
    </xf>
    <xf numFmtId="0" fontId="21" fillId="12" borderId="8" xfId="0" applyFont="1" applyFill="1" applyBorder="1" applyAlignment="1" applyProtection="1">
      <alignment horizontal="center" vertical="top" wrapText="1"/>
      <protection hidden="1"/>
    </xf>
    <xf numFmtId="0" fontId="7" fillId="7" borderId="15" xfId="0" quotePrefix="1" applyFont="1" applyFill="1" applyBorder="1" applyAlignment="1" applyProtection="1">
      <alignment horizontal="center" vertical="center" wrapText="1"/>
      <protection hidden="1"/>
    </xf>
    <xf numFmtId="0" fontId="7" fillId="7" borderId="13" xfId="0" quotePrefix="1" applyFont="1" applyFill="1" applyBorder="1" applyAlignment="1" applyProtection="1">
      <alignment horizontal="center" vertical="center" wrapText="1"/>
      <protection hidden="1"/>
    </xf>
    <xf numFmtId="0" fontId="7" fillId="7" borderId="34" xfId="0" quotePrefix="1" applyFont="1" applyFill="1" applyBorder="1" applyAlignment="1" applyProtection="1">
      <alignment horizontal="center" vertical="center" wrapText="1"/>
      <protection hidden="1"/>
    </xf>
    <xf numFmtId="0" fontId="7" fillId="7" borderId="17" xfId="0" quotePrefix="1" applyFont="1" applyFill="1" applyBorder="1" applyAlignment="1" applyProtection="1">
      <alignment horizontal="center" vertical="center" wrapText="1"/>
      <protection hidden="1"/>
    </xf>
    <xf numFmtId="0" fontId="7" fillId="12" borderId="34" xfId="0" quotePrefix="1" applyFont="1" applyFill="1" applyBorder="1" applyAlignment="1" applyProtection="1">
      <alignment horizontal="center" vertical="center" wrapText="1"/>
      <protection hidden="1"/>
    </xf>
    <xf numFmtId="0" fontId="7" fillId="12" borderId="13" xfId="0" quotePrefix="1" applyFont="1" applyFill="1" applyBorder="1" applyAlignment="1" applyProtection="1">
      <alignment horizontal="center" vertical="center" wrapText="1"/>
      <protection hidden="1"/>
    </xf>
    <xf numFmtId="0" fontId="7" fillId="12" borderId="17" xfId="0" quotePrefix="1" applyFont="1" applyFill="1" applyBorder="1" applyAlignment="1" applyProtection="1">
      <alignment horizontal="center" vertical="center" wrapText="1"/>
      <protection hidden="1"/>
    </xf>
    <xf numFmtId="0" fontId="7" fillId="5" borderId="59" xfId="4" applyFont="1" applyFill="1" applyBorder="1" applyAlignment="1" applyProtection="1">
      <alignment horizontal="left" vertical="center" indent="1"/>
      <protection hidden="1"/>
    </xf>
    <xf numFmtId="172" fontId="6" fillId="5" borderId="19" xfId="7" applyNumberFormat="1" applyFont="1" applyFill="1" applyBorder="1" applyAlignment="1" applyProtection="1">
      <alignment vertical="center"/>
      <protection hidden="1"/>
    </xf>
    <xf numFmtId="172" fontId="6" fillId="5" borderId="20" xfId="7" applyNumberFormat="1" applyFont="1" applyFill="1" applyBorder="1" applyAlignment="1" applyProtection="1">
      <alignment vertical="center"/>
      <protection hidden="1"/>
    </xf>
    <xf numFmtId="178" fontId="17" fillId="0" borderId="57" xfId="4" applyNumberFormat="1" applyFont="1" applyFill="1" applyBorder="1" applyAlignment="1" applyProtection="1">
      <alignment vertical="center"/>
      <protection locked="0"/>
    </xf>
    <xf numFmtId="178" fontId="5" fillId="0" borderId="20" xfId="4" applyNumberFormat="1" applyFont="1" applyFill="1" applyBorder="1" applyAlignment="1" applyProtection="1">
      <alignment vertical="center"/>
      <protection locked="0"/>
    </xf>
    <xf numFmtId="0" fontId="6" fillId="5" borderId="20" xfId="4" applyFont="1" applyFill="1" applyBorder="1" applyProtection="1">
      <protection hidden="1"/>
    </xf>
    <xf numFmtId="179" fontId="7" fillId="5" borderId="16" xfId="4" applyNumberFormat="1" applyFont="1" applyFill="1" applyBorder="1" applyAlignment="1" applyProtection="1">
      <alignment vertical="center"/>
      <protection hidden="1"/>
    </xf>
    <xf numFmtId="178" fontId="6" fillId="0" borderId="57" xfId="4" applyNumberFormat="1" applyFont="1" applyFill="1" applyBorder="1" applyAlignment="1" applyProtection="1">
      <alignment vertical="center"/>
      <protection locked="0"/>
    </xf>
    <xf numFmtId="178" fontId="6" fillId="0" borderId="20" xfId="4" applyNumberFormat="1" applyFont="1" applyFill="1" applyBorder="1" applyAlignment="1" applyProtection="1">
      <alignment vertical="center"/>
      <protection locked="0"/>
    </xf>
    <xf numFmtId="180" fontId="17" fillId="5" borderId="48" xfId="4" applyNumberFormat="1" applyFont="1" applyFill="1" applyBorder="1" applyAlignment="1" applyProtection="1">
      <alignment vertical="center"/>
      <protection hidden="1"/>
    </xf>
    <xf numFmtId="180" fontId="7" fillId="5" borderId="82" xfId="4" applyNumberFormat="1" applyFont="1" applyFill="1" applyBorder="1" applyAlignment="1" applyProtection="1">
      <alignment vertical="center"/>
      <protection hidden="1"/>
    </xf>
    <xf numFmtId="180" fontId="7" fillId="5" borderId="31" xfId="4" applyNumberFormat="1" applyFont="1" applyFill="1" applyBorder="1" applyAlignment="1" applyProtection="1">
      <alignment vertical="center"/>
      <protection hidden="1"/>
    </xf>
    <xf numFmtId="180" fontId="7" fillId="5" borderId="48" xfId="4" applyNumberFormat="1" applyFont="1" applyFill="1" applyBorder="1" applyAlignment="1" applyProtection="1">
      <alignment vertical="center"/>
      <protection hidden="1"/>
    </xf>
    <xf numFmtId="0" fontId="6" fillId="5" borderId="21" xfId="4" applyFont="1" applyFill="1" applyBorder="1" applyProtection="1">
      <protection hidden="1"/>
    </xf>
    <xf numFmtId="0" fontId="6" fillId="5" borderId="22" xfId="4" applyFont="1" applyFill="1" applyBorder="1" applyProtection="1">
      <protection hidden="1"/>
    </xf>
    <xf numFmtId="0" fontId="6" fillId="5" borderId="23" xfId="4" applyFont="1" applyFill="1" applyBorder="1" applyProtection="1">
      <protection hidden="1"/>
    </xf>
    <xf numFmtId="0" fontId="6" fillId="5" borderId="12" xfId="4" applyFont="1" applyFill="1" applyBorder="1" applyProtection="1">
      <protection hidden="1"/>
    </xf>
    <xf numFmtId="180" fontId="6" fillId="7" borderId="46" xfId="4" applyNumberFormat="1" applyFont="1" applyFill="1" applyBorder="1" applyAlignment="1" applyProtection="1">
      <alignment vertical="center"/>
      <protection hidden="1"/>
    </xf>
    <xf numFmtId="180" fontId="6" fillId="7" borderId="20" xfId="4" applyNumberFormat="1" applyFont="1" applyFill="1" applyBorder="1" applyAlignment="1" applyProtection="1">
      <alignment vertical="center"/>
      <protection hidden="1"/>
    </xf>
    <xf numFmtId="180" fontId="6" fillId="12" borderId="46" xfId="4" applyNumberFormat="1" applyFont="1" applyFill="1" applyBorder="1" applyAlignment="1" applyProtection="1">
      <alignment vertical="center"/>
      <protection hidden="1"/>
    </xf>
    <xf numFmtId="180" fontId="6" fillId="12" borderId="20" xfId="4" applyNumberFormat="1" applyFont="1" applyFill="1" applyBorder="1" applyAlignment="1" applyProtection="1">
      <alignment vertical="center"/>
      <protection hidden="1"/>
    </xf>
    <xf numFmtId="180" fontId="7" fillId="12" borderId="48" xfId="4" applyNumberFormat="1" applyFont="1" applyFill="1" applyBorder="1" applyAlignment="1" applyProtection="1">
      <alignment vertical="center"/>
      <protection hidden="1"/>
    </xf>
    <xf numFmtId="176" fontId="6" fillId="12" borderId="21" xfId="4" applyNumberFormat="1" applyFont="1" applyFill="1" applyBorder="1" applyAlignment="1" applyProtection="1">
      <alignment vertical="center"/>
      <protection hidden="1"/>
    </xf>
    <xf numFmtId="176" fontId="6" fillId="12" borderId="22" xfId="4" applyNumberFormat="1" applyFont="1" applyFill="1" applyBorder="1" applyAlignment="1" applyProtection="1">
      <alignment vertical="center"/>
      <protection hidden="1"/>
    </xf>
    <xf numFmtId="176" fontId="6" fillId="12" borderId="23" xfId="4" applyNumberFormat="1" applyFont="1" applyFill="1" applyBorder="1" applyAlignment="1" applyProtection="1">
      <alignment vertical="center"/>
      <protection hidden="1"/>
    </xf>
    <xf numFmtId="0" fontId="7" fillId="5" borderId="26" xfId="4" applyFont="1" applyFill="1" applyBorder="1" applyAlignment="1" applyProtection="1">
      <alignment horizontal="left" vertical="center" indent="1"/>
      <protection hidden="1"/>
    </xf>
    <xf numFmtId="172" fontId="6" fillId="5" borderId="24" xfId="7" applyNumberFormat="1" applyFont="1" applyFill="1" applyBorder="1" applyAlignment="1" applyProtection="1">
      <alignment vertical="center"/>
      <protection hidden="1"/>
    </xf>
    <xf numFmtId="172" fontId="6" fillId="5" borderId="22" xfId="7" applyNumberFormat="1" applyFont="1" applyFill="1" applyBorder="1" applyAlignment="1" applyProtection="1">
      <alignment vertical="center"/>
      <protection hidden="1"/>
    </xf>
    <xf numFmtId="176" fontId="5" fillId="5" borderId="47" xfId="4" applyNumberFormat="1" applyFont="1" applyFill="1" applyBorder="1" applyAlignment="1" applyProtection="1">
      <alignment horizontal="right" vertical="center" indent="1"/>
      <protection hidden="1"/>
    </xf>
    <xf numFmtId="0" fontId="6" fillId="5" borderId="25" xfId="4" applyFont="1" applyFill="1" applyBorder="1" applyProtection="1">
      <protection hidden="1"/>
    </xf>
    <xf numFmtId="0" fontId="6" fillId="5" borderId="26" xfId="4" applyFont="1" applyFill="1" applyBorder="1" applyProtection="1">
      <protection hidden="1"/>
    </xf>
    <xf numFmtId="0" fontId="6" fillId="7" borderId="24" xfId="4" applyFont="1" applyFill="1" applyBorder="1" applyProtection="1">
      <protection hidden="1"/>
    </xf>
    <xf numFmtId="0" fontId="6" fillId="7" borderId="22" xfId="4" applyFont="1" applyFill="1" applyBorder="1" applyProtection="1">
      <protection hidden="1"/>
    </xf>
    <xf numFmtId="0" fontId="6" fillId="7" borderId="21" xfId="4" applyFont="1" applyFill="1" applyBorder="1" applyProtection="1">
      <protection hidden="1"/>
    </xf>
    <xf numFmtId="0" fontId="6" fillId="7" borderId="23" xfId="4" applyFont="1" applyFill="1" applyBorder="1" applyProtection="1">
      <protection hidden="1"/>
    </xf>
    <xf numFmtId="0" fontId="6" fillId="12" borderId="24" xfId="4" applyFont="1" applyFill="1" applyBorder="1" applyProtection="1">
      <protection hidden="1"/>
    </xf>
    <xf numFmtId="0" fontId="6" fillId="12" borderId="22" xfId="4" applyFont="1" applyFill="1" applyBorder="1" applyProtection="1">
      <protection hidden="1"/>
    </xf>
    <xf numFmtId="0" fontId="6" fillId="12" borderId="25" xfId="4" applyFont="1" applyFill="1" applyBorder="1" applyProtection="1">
      <protection hidden="1"/>
    </xf>
    <xf numFmtId="0" fontId="6" fillId="12" borderId="21" xfId="4" applyFont="1" applyFill="1" applyBorder="1" applyProtection="1">
      <protection hidden="1"/>
    </xf>
    <xf numFmtId="0" fontId="6" fillId="12" borderId="23" xfId="4" applyFont="1" applyFill="1" applyBorder="1" applyProtection="1">
      <protection hidden="1"/>
    </xf>
    <xf numFmtId="0" fontId="19" fillId="5" borderId="12" xfId="4" applyFont="1" applyFill="1" applyBorder="1" applyAlignment="1" applyProtection="1">
      <alignment horizontal="left" vertical="center" indent="3"/>
      <protection hidden="1"/>
    </xf>
    <xf numFmtId="172" fontId="6" fillId="5" borderId="27" xfId="7" applyNumberFormat="1" applyFont="1" applyFill="1" applyBorder="1" applyAlignment="1" applyProtection="1">
      <alignment vertical="center"/>
      <protection hidden="1"/>
    </xf>
    <xf numFmtId="172" fontId="6" fillId="5" borderId="28" xfId="7" applyNumberFormat="1" applyFont="1" applyFill="1" applyBorder="1" applyAlignment="1" applyProtection="1">
      <alignment vertical="center"/>
      <protection hidden="1"/>
    </xf>
    <xf numFmtId="176" fontId="5" fillId="5" borderId="62" xfId="4" applyNumberFormat="1" applyFont="1" applyFill="1" applyBorder="1" applyAlignment="1" applyProtection="1">
      <alignment horizontal="right" vertical="center" indent="1"/>
      <protection hidden="1"/>
    </xf>
    <xf numFmtId="0" fontId="6" fillId="5" borderId="28" xfId="4" applyFont="1" applyFill="1" applyBorder="1" applyProtection="1">
      <protection hidden="1"/>
    </xf>
    <xf numFmtId="0" fontId="6" fillId="5" borderId="29" xfId="4" applyFont="1" applyFill="1" applyBorder="1" applyProtection="1">
      <protection hidden="1"/>
    </xf>
    <xf numFmtId="0" fontId="6" fillId="5" borderId="10" xfId="4" applyFont="1" applyFill="1" applyBorder="1" applyProtection="1">
      <protection hidden="1"/>
    </xf>
    <xf numFmtId="0" fontId="6" fillId="5" borderId="11" xfId="4" applyFont="1" applyFill="1" applyBorder="1" applyProtection="1">
      <protection hidden="1"/>
    </xf>
    <xf numFmtId="0" fontId="6" fillId="7" borderId="6" xfId="4" applyFont="1" applyFill="1" applyBorder="1" applyProtection="1">
      <protection hidden="1"/>
    </xf>
    <xf numFmtId="0" fontId="6" fillId="7" borderId="7" xfId="4" applyFont="1" applyFill="1" applyBorder="1" applyProtection="1">
      <protection hidden="1"/>
    </xf>
    <xf numFmtId="0" fontId="6" fillId="7" borderId="10" xfId="4" applyFont="1" applyFill="1" applyBorder="1" applyProtection="1">
      <protection hidden="1"/>
    </xf>
    <xf numFmtId="0" fontId="6" fillId="7" borderId="11" xfId="4" applyFont="1" applyFill="1" applyBorder="1" applyProtection="1">
      <protection hidden="1"/>
    </xf>
    <xf numFmtId="0" fontId="6" fillId="12" borderId="6" xfId="4" applyFont="1" applyFill="1" applyBorder="1" applyProtection="1">
      <protection hidden="1"/>
    </xf>
    <xf numFmtId="0" fontId="6" fillId="12" borderId="7" xfId="4" applyFont="1" applyFill="1" applyBorder="1" applyProtection="1">
      <protection hidden="1"/>
    </xf>
    <xf numFmtId="0" fontId="6" fillId="12" borderId="29" xfId="4" applyFont="1" applyFill="1" applyBorder="1" applyProtection="1">
      <protection hidden="1"/>
    </xf>
    <xf numFmtId="0" fontId="6" fillId="12" borderId="10" xfId="4" applyFont="1" applyFill="1" applyBorder="1" applyProtection="1">
      <protection hidden="1"/>
    </xf>
    <xf numFmtId="0" fontId="23" fillId="5" borderId="12" xfId="4" applyFont="1" applyFill="1" applyBorder="1" applyAlignment="1" applyProtection="1">
      <alignment horizontal="left" vertical="center" indent="4"/>
      <protection hidden="1"/>
    </xf>
    <xf numFmtId="178" fontId="6" fillId="9" borderId="30" xfId="7" applyNumberFormat="1" applyFont="1" applyFill="1" applyBorder="1" applyAlignment="1" applyProtection="1">
      <alignment vertical="center"/>
      <protection hidden="1"/>
    </xf>
    <xf numFmtId="178" fontId="6" fillId="0" borderId="31" xfId="7" applyNumberFormat="1" applyFont="1" applyFill="1" applyBorder="1" applyAlignment="1" applyProtection="1">
      <alignment vertical="center"/>
      <protection locked="0"/>
    </xf>
    <xf numFmtId="180" fontId="17" fillId="5" borderId="40" xfId="4" applyNumberFormat="1" applyFont="1" applyFill="1" applyBorder="1" applyAlignment="1" applyProtection="1">
      <alignment vertical="center"/>
      <protection hidden="1"/>
    </xf>
    <xf numFmtId="178" fontId="6" fillId="0" borderId="30" xfId="7" applyNumberFormat="1" applyFont="1" applyFill="1" applyBorder="1" applyAlignment="1" applyProtection="1">
      <alignment vertical="center"/>
      <protection locked="0"/>
    </xf>
    <xf numFmtId="180" fontId="17" fillId="5" borderId="32" xfId="4" applyNumberFormat="1" applyFont="1" applyFill="1" applyBorder="1" applyAlignment="1" applyProtection="1">
      <alignment vertical="center"/>
      <protection hidden="1"/>
    </xf>
    <xf numFmtId="180" fontId="7" fillId="5" borderId="30" xfId="4" applyNumberFormat="1" applyFont="1" applyFill="1" applyBorder="1" applyAlignment="1" applyProtection="1">
      <alignment vertical="center"/>
      <protection hidden="1"/>
    </xf>
    <xf numFmtId="180" fontId="7" fillId="5" borderId="33" xfId="4" applyNumberFormat="1" applyFont="1" applyFill="1" applyBorder="1" applyAlignment="1" applyProtection="1">
      <alignment vertical="center"/>
      <protection hidden="1"/>
    </xf>
    <xf numFmtId="172" fontId="6" fillId="5" borderId="10" xfId="7" applyNumberFormat="1" applyFont="1" applyFill="1" applyBorder="1" applyAlignment="1" applyProtection="1">
      <alignment vertical="center"/>
      <protection hidden="1"/>
    </xf>
    <xf numFmtId="172" fontId="6" fillId="5" borderId="7" xfId="7" applyNumberFormat="1" applyFont="1" applyFill="1" applyBorder="1" applyAlignment="1" applyProtection="1">
      <alignment vertical="center"/>
      <protection hidden="1"/>
    </xf>
    <xf numFmtId="180" fontId="6" fillId="7" borderId="39" xfId="4" applyNumberFormat="1" applyFont="1" applyFill="1" applyBorder="1" applyAlignment="1" applyProtection="1">
      <alignment vertical="center"/>
      <protection hidden="1"/>
    </xf>
    <xf numFmtId="180" fontId="6" fillId="7" borderId="31" xfId="4" applyNumberFormat="1" applyFont="1" applyFill="1" applyBorder="1" applyAlignment="1" applyProtection="1">
      <alignment vertical="center"/>
      <protection hidden="1"/>
    </xf>
    <xf numFmtId="176" fontId="6" fillId="7" borderId="39" xfId="4" applyNumberFormat="1" applyFont="1" applyFill="1" applyBorder="1" applyAlignment="1" applyProtection="1">
      <alignment vertical="center"/>
      <protection hidden="1"/>
    </xf>
    <xf numFmtId="176" fontId="6" fillId="7" borderId="31" xfId="4" applyNumberFormat="1" applyFont="1" applyFill="1" applyBorder="1" applyAlignment="1" applyProtection="1">
      <alignment vertical="center"/>
      <protection hidden="1"/>
    </xf>
    <xf numFmtId="180" fontId="6" fillId="12" borderId="39" xfId="4" applyNumberFormat="1" applyFont="1" applyFill="1" applyBorder="1" applyAlignment="1" applyProtection="1">
      <alignment vertical="center"/>
      <protection hidden="1"/>
    </xf>
    <xf numFmtId="180" fontId="6" fillId="12" borderId="31" xfId="4" applyNumberFormat="1" applyFont="1" applyFill="1" applyBorder="1" applyAlignment="1" applyProtection="1">
      <alignment vertical="center"/>
      <protection hidden="1"/>
    </xf>
    <xf numFmtId="180" fontId="7" fillId="12" borderId="33" xfId="4" applyNumberFormat="1" applyFont="1" applyFill="1" applyBorder="1" applyAlignment="1" applyProtection="1">
      <alignment vertical="center"/>
      <protection hidden="1"/>
    </xf>
    <xf numFmtId="176" fontId="6" fillId="12" borderId="39" xfId="4" applyNumberFormat="1" applyFont="1" applyFill="1" applyBorder="1" applyAlignment="1" applyProtection="1">
      <alignment vertical="center"/>
      <protection hidden="1"/>
    </xf>
    <xf numFmtId="176" fontId="6" fillId="12" borderId="31" xfId="4" applyNumberFormat="1" applyFont="1" applyFill="1" applyBorder="1" applyAlignment="1" applyProtection="1">
      <alignment vertical="center"/>
      <protection hidden="1"/>
    </xf>
    <xf numFmtId="176" fontId="6" fillId="12" borderId="35" xfId="4" applyNumberFormat="1" applyFont="1" applyFill="1" applyBorder="1" applyAlignment="1" applyProtection="1">
      <alignment vertical="center"/>
      <protection hidden="1"/>
    </xf>
    <xf numFmtId="0" fontId="7" fillId="5" borderId="18" xfId="4" applyFont="1" applyFill="1" applyBorder="1" applyAlignment="1" applyProtection="1">
      <alignment horizontal="left" vertical="center" indent="3"/>
      <protection hidden="1"/>
    </xf>
    <xf numFmtId="180" fontId="7" fillId="5" borderId="39" xfId="4" applyNumberFormat="1" applyFont="1" applyFill="1" applyBorder="1" applyAlignment="1" applyProtection="1">
      <alignment vertical="center"/>
      <protection hidden="1"/>
    </xf>
    <xf numFmtId="180" fontId="7" fillId="5" borderId="49" xfId="4" applyNumberFormat="1" applyFont="1" applyFill="1" applyBorder="1" applyAlignment="1" applyProtection="1">
      <alignment vertical="center"/>
      <protection hidden="1"/>
    </xf>
    <xf numFmtId="180" fontId="7" fillId="5" borderId="50" xfId="4" applyNumberFormat="1" applyFont="1" applyFill="1" applyBorder="1" applyAlignment="1" applyProtection="1">
      <alignment vertical="center"/>
      <protection hidden="1"/>
    </xf>
    <xf numFmtId="180" fontId="7" fillId="5" borderId="51" xfId="4" applyNumberFormat="1" applyFont="1" applyFill="1" applyBorder="1" applyAlignment="1" applyProtection="1">
      <alignment vertical="center"/>
      <protection hidden="1"/>
    </xf>
    <xf numFmtId="180" fontId="7" fillId="5" borderId="54" xfId="4" applyNumberFormat="1" applyFont="1" applyFill="1" applyBorder="1" applyAlignment="1" applyProtection="1">
      <alignment vertical="center"/>
      <protection hidden="1"/>
    </xf>
    <xf numFmtId="0" fontId="6" fillId="5" borderId="34" xfId="4" applyFont="1" applyFill="1" applyBorder="1" applyProtection="1">
      <protection hidden="1"/>
    </xf>
    <xf numFmtId="0" fontId="6" fillId="5" borderId="13" xfId="4" applyFont="1" applyFill="1" applyBorder="1" applyProtection="1">
      <protection hidden="1"/>
    </xf>
    <xf numFmtId="0" fontId="6" fillId="5" borderId="17" xfId="4" applyFont="1" applyFill="1" applyBorder="1" applyProtection="1">
      <protection hidden="1"/>
    </xf>
    <xf numFmtId="0" fontId="6" fillId="5" borderId="18" xfId="4" applyFont="1" applyFill="1" applyBorder="1" applyProtection="1">
      <protection hidden="1"/>
    </xf>
    <xf numFmtId="180" fontId="7" fillId="7" borderId="49" xfId="4" applyNumberFormat="1" applyFont="1" applyFill="1" applyBorder="1" applyAlignment="1" applyProtection="1">
      <alignment vertical="center"/>
      <protection hidden="1"/>
    </xf>
    <xf numFmtId="176" fontId="7" fillId="7" borderId="34" xfId="4" applyNumberFormat="1" applyFont="1" applyFill="1" applyBorder="1" applyAlignment="1" applyProtection="1">
      <alignment vertical="center"/>
      <protection hidden="1"/>
    </xf>
    <xf numFmtId="176" fontId="7" fillId="7" borderId="13" xfId="4" applyNumberFormat="1" applyFont="1" applyFill="1" applyBorder="1" applyAlignment="1" applyProtection="1">
      <alignment vertical="center"/>
      <protection hidden="1"/>
    </xf>
    <xf numFmtId="180" fontId="7" fillId="12" borderId="49" xfId="4" applyNumberFormat="1" applyFont="1" applyFill="1" applyBorder="1" applyAlignment="1" applyProtection="1">
      <alignment vertical="center"/>
      <protection hidden="1"/>
    </xf>
    <xf numFmtId="180" fontId="7" fillId="12" borderId="51" xfId="4" applyNumberFormat="1" applyFont="1" applyFill="1" applyBorder="1" applyAlignment="1" applyProtection="1">
      <alignment vertical="center"/>
      <protection hidden="1"/>
    </xf>
    <xf numFmtId="176" fontId="7" fillId="12" borderId="34" xfId="4" applyNumberFormat="1" applyFont="1" applyFill="1" applyBorder="1" applyAlignment="1" applyProtection="1">
      <alignment vertical="center"/>
      <protection hidden="1"/>
    </xf>
    <xf numFmtId="176" fontId="7" fillId="12" borderId="13" xfId="4" applyNumberFormat="1" applyFont="1" applyFill="1" applyBorder="1" applyAlignment="1" applyProtection="1">
      <alignment vertical="center"/>
      <protection hidden="1"/>
    </xf>
    <xf numFmtId="176" fontId="7" fillId="12" borderId="17" xfId="4" applyNumberFormat="1" applyFont="1" applyFill="1" applyBorder="1" applyAlignment="1" applyProtection="1">
      <alignment vertical="center"/>
      <protection hidden="1"/>
    </xf>
    <xf numFmtId="0" fontId="6" fillId="7" borderId="8" xfId="4" applyFont="1" applyFill="1" applyBorder="1" applyProtection="1">
      <protection hidden="1"/>
    </xf>
    <xf numFmtId="0" fontId="6" fillId="12" borderId="8" xfId="4" applyFont="1" applyFill="1" applyBorder="1" applyProtection="1">
      <protection hidden="1"/>
    </xf>
    <xf numFmtId="178" fontId="6" fillId="0" borderId="32" xfId="7" applyNumberFormat="1" applyFont="1" applyFill="1" applyBorder="1" applyAlignment="1" applyProtection="1">
      <alignment vertical="center"/>
      <protection locked="0"/>
    </xf>
    <xf numFmtId="180" fontId="17" fillId="5" borderId="33" xfId="4" applyNumberFormat="1" applyFont="1" applyFill="1" applyBorder="1" applyAlignment="1" applyProtection="1">
      <alignment vertical="center"/>
      <protection hidden="1"/>
    </xf>
    <xf numFmtId="180" fontId="17" fillId="5" borderId="31" xfId="4" applyNumberFormat="1" applyFont="1" applyFill="1" applyBorder="1" applyAlignment="1" applyProtection="1">
      <alignment vertical="center"/>
      <protection hidden="1"/>
    </xf>
    <xf numFmtId="178" fontId="6" fillId="0" borderId="39" xfId="7" applyNumberFormat="1" applyFont="1" applyFill="1" applyBorder="1" applyAlignment="1" applyProtection="1">
      <alignment vertical="center"/>
      <protection locked="0" hidden="1"/>
    </xf>
    <xf numFmtId="178" fontId="6" fillId="0" borderId="31" xfId="7" applyNumberFormat="1" applyFont="1" applyFill="1" applyBorder="1" applyAlignment="1" applyProtection="1">
      <alignment vertical="center"/>
      <protection locked="0" hidden="1"/>
    </xf>
    <xf numFmtId="180" fontId="7" fillId="5" borderId="35" xfId="4" applyNumberFormat="1" applyFont="1" applyFill="1" applyBorder="1" applyAlignment="1" applyProtection="1">
      <alignment vertical="center"/>
      <protection hidden="1"/>
    </xf>
    <xf numFmtId="180" fontId="7" fillId="5" borderId="43" xfId="4" applyNumberFormat="1" applyFont="1" applyFill="1" applyBorder="1" applyAlignment="1" applyProtection="1">
      <alignment vertical="center"/>
      <protection hidden="1"/>
    </xf>
    <xf numFmtId="180" fontId="7" fillId="5" borderId="52" xfId="4" applyNumberFormat="1" applyFont="1" applyFill="1" applyBorder="1" applyAlignment="1" applyProtection="1">
      <alignment vertical="center"/>
      <protection hidden="1"/>
    </xf>
    <xf numFmtId="180" fontId="7" fillId="5" borderId="53" xfId="4" applyNumberFormat="1" applyFont="1" applyFill="1" applyBorder="1" applyAlignment="1" applyProtection="1">
      <alignment vertical="center"/>
      <protection hidden="1"/>
    </xf>
    <xf numFmtId="180" fontId="7" fillId="5" borderId="55" xfId="4" applyNumberFormat="1" applyFont="1" applyFill="1" applyBorder="1" applyAlignment="1" applyProtection="1">
      <alignment vertical="center"/>
      <protection hidden="1"/>
    </xf>
    <xf numFmtId="180" fontId="7" fillId="7" borderId="15" xfId="4" applyNumberFormat="1" applyFont="1" applyFill="1" applyBorder="1" applyAlignment="1" applyProtection="1">
      <alignment vertical="center"/>
      <protection hidden="1"/>
    </xf>
    <xf numFmtId="180" fontId="7" fillId="7" borderId="13" xfId="4" applyNumberFormat="1" applyFont="1" applyFill="1" applyBorder="1" applyAlignment="1" applyProtection="1">
      <alignment vertical="center"/>
      <protection hidden="1"/>
    </xf>
    <xf numFmtId="176" fontId="7" fillId="7" borderId="10" xfId="4" applyNumberFormat="1" applyFont="1" applyFill="1" applyBorder="1" applyAlignment="1" applyProtection="1">
      <alignment vertical="center"/>
      <protection hidden="1"/>
    </xf>
    <xf numFmtId="176" fontId="7" fillId="7" borderId="7" xfId="4" applyNumberFormat="1" applyFont="1" applyFill="1" applyBorder="1" applyAlignment="1" applyProtection="1">
      <alignment vertical="center"/>
      <protection hidden="1"/>
    </xf>
    <xf numFmtId="180" fontId="7" fillId="12" borderId="15" xfId="4" applyNumberFormat="1" applyFont="1" applyFill="1" applyBorder="1" applyAlignment="1" applyProtection="1">
      <alignment vertical="center"/>
      <protection hidden="1"/>
    </xf>
    <xf numFmtId="180" fontId="7" fillId="12" borderId="13" xfId="4" applyNumberFormat="1" applyFont="1" applyFill="1" applyBorder="1" applyAlignment="1" applyProtection="1">
      <alignment vertical="center"/>
      <protection hidden="1"/>
    </xf>
    <xf numFmtId="176" fontId="7" fillId="12" borderId="10" xfId="4" applyNumberFormat="1" applyFont="1" applyFill="1" applyBorder="1" applyAlignment="1" applyProtection="1">
      <alignment vertical="center"/>
      <protection hidden="1"/>
    </xf>
    <xf numFmtId="176" fontId="7" fillId="12" borderId="7" xfId="4" applyNumberFormat="1" applyFont="1" applyFill="1" applyBorder="1" applyAlignment="1" applyProtection="1">
      <alignment vertical="center"/>
      <protection hidden="1"/>
    </xf>
    <xf numFmtId="176" fontId="7" fillId="12" borderId="11" xfId="4" applyNumberFormat="1" applyFont="1" applyFill="1" applyBorder="1" applyAlignment="1" applyProtection="1">
      <alignment vertical="center"/>
      <protection hidden="1"/>
    </xf>
    <xf numFmtId="0" fontId="7" fillId="5" borderId="12" xfId="4" applyFont="1" applyFill="1" applyBorder="1" applyAlignment="1" applyProtection="1">
      <alignment horizontal="left" vertical="center" indent="1"/>
      <protection hidden="1"/>
    </xf>
    <xf numFmtId="172" fontId="6" fillId="5" borderId="41" xfId="7" applyNumberFormat="1" applyFont="1" applyFill="1" applyBorder="1" applyAlignment="1" applyProtection="1">
      <alignment vertical="center"/>
      <protection hidden="1"/>
    </xf>
    <xf numFmtId="172" fontId="6" fillId="5" borderId="6" xfId="7" applyNumberFormat="1" applyFont="1" applyFill="1" applyBorder="1" applyAlignment="1" applyProtection="1">
      <alignment vertical="center"/>
      <protection hidden="1"/>
    </xf>
    <xf numFmtId="176" fontId="5" fillId="5" borderId="9" xfId="4" applyNumberFormat="1" applyFont="1" applyFill="1" applyBorder="1" applyAlignment="1" applyProtection="1">
      <alignment horizontal="right" vertical="center" indent="1"/>
      <protection hidden="1"/>
    </xf>
    <xf numFmtId="0" fontId="19" fillId="5" borderId="12" xfId="4" applyFont="1" applyFill="1" applyBorder="1" applyAlignment="1" applyProtection="1">
      <alignment horizontal="left" vertical="center" indent="4"/>
      <protection hidden="1"/>
    </xf>
    <xf numFmtId="172" fontId="6" fillId="5" borderId="42" xfId="7" applyNumberFormat="1" applyFont="1" applyFill="1" applyBorder="1" applyAlignment="1" applyProtection="1">
      <alignment vertical="center"/>
      <protection hidden="1"/>
    </xf>
    <xf numFmtId="172" fontId="6" fillId="5" borderId="36" xfId="7" applyNumberFormat="1" applyFont="1" applyFill="1" applyBorder="1" applyAlignment="1" applyProtection="1">
      <alignment vertical="center"/>
      <protection hidden="1"/>
    </xf>
    <xf numFmtId="0" fontId="6" fillId="5" borderId="37" xfId="4" applyFont="1" applyFill="1" applyBorder="1" applyProtection="1">
      <protection hidden="1"/>
    </xf>
    <xf numFmtId="0" fontId="6" fillId="5" borderId="38" xfId="4" applyFont="1" applyFill="1" applyBorder="1" applyProtection="1">
      <protection hidden="1"/>
    </xf>
    <xf numFmtId="0" fontId="23" fillId="5" borderId="12" xfId="4" applyFont="1" applyFill="1" applyBorder="1" applyAlignment="1" applyProtection="1">
      <alignment horizontal="left" vertical="center" indent="5"/>
      <protection hidden="1"/>
    </xf>
    <xf numFmtId="178" fontId="6" fillId="0" borderId="39" xfId="7" applyNumberFormat="1" applyFont="1" applyFill="1" applyBorder="1" applyAlignment="1" applyProtection="1">
      <alignment vertical="center"/>
      <protection locked="0"/>
    </xf>
    <xf numFmtId="178" fontId="6" fillId="9" borderId="39" xfId="7" applyNumberFormat="1" applyFont="1" applyFill="1" applyBorder="1" applyAlignment="1" applyProtection="1">
      <alignment vertical="center"/>
      <protection hidden="1"/>
    </xf>
    <xf numFmtId="172" fontId="6" fillId="5" borderId="30" xfId="7" applyNumberFormat="1" applyFont="1" applyFill="1" applyBorder="1" applyAlignment="1" applyProtection="1">
      <alignment vertical="center"/>
      <protection hidden="1"/>
    </xf>
    <xf numFmtId="172" fontId="6" fillId="5" borderId="32" xfId="7" applyNumberFormat="1" applyFont="1" applyFill="1" applyBorder="1" applyAlignment="1" applyProtection="1">
      <alignment vertical="center"/>
      <protection hidden="1"/>
    </xf>
    <xf numFmtId="176" fontId="5" fillId="5" borderId="40" xfId="4" applyNumberFormat="1" applyFont="1" applyFill="1" applyBorder="1" applyAlignment="1" applyProtection="1">
      <alignment horizontal="right" vertical="center" indent="1"/>
      <protection hidden="1"/>
    </xf>
    <xf numFmtId="172" fontId="6" fillId="5" borderId="31" xfId="7" applyNumberFormat="1" applyFont="1" applyFill="1" applyBorder="1" applyAlignment="1" applyProtection="1">
      <alignment vertical="center"/>
      <protection hidden="1"/>
    </xf>
    <xf numFmtId="0" fontId="6" fillId="5" borderId="31" xfId="4" applyFont="1" applyFill="1" applyBorder="1" applyProtection="1">
      <protection hidden="1"/>
    </xf>
    <xf numFmtId="0" fontId="6" fillId="5" borderId="33" xfId="4" applyFont="1" applyFill="1" applyBorder="1" applyProtection="1">
      <protection hidden="1"/>
    </xf>
    <xf numFmtId="172" fontId="6" fillId="5" borderId="39" xfId="7" applyNumberFormat="1" applyFont="1" applyFill="1" applyBorder="1" applyAlignment="1" applyProtection="1">
      <alignment vertical="center"/>
      <protection hidden="1"/>
    </xf>
    <xf numFmtId="0" fontId="6" fillId="5" borderId="35" xfId="4" applyFont="1" applyFill="1" applyBorder="1" applyProtection="1">
      <protection hidden="1"/>
    </xf>
    <xf numFmtId="0" fontId="6" fillId="7" borderId="30" xfId="4" applyFont="1" applyFill="1" applyBorder="1" applyProtection="1">
      <protection hidden="1"/>
    </xf>
    <xf numFmtId="0" fontId="6" fillId="7" borderId="31" xfId="4" applyFont="1" applyFill="1" applyBorder="1" applyProtection="1">
      <protection hidden="1"/>
    </xf>
    <xf numFmtId="0" fontId="6" fillId="7" borderId="33" xfId="4" applyFont="1" applyFill="1" applyBorder="1" applyProtection="1">
      <protection hidden="1"/>
    </xf>
    <xf numFmtId="0" fontId="6" fillId="12" borderId="30" xfId="4" applyFont="1" applyFill="1" applyBorder="1" applyProtection="1">
      <protection hidden="1"/>
    </xf>
    <xf numFmtId="0" fontId="6" fillId="12" borderId="31" xfId="4" applyFont="1" applyFill="1" applyBorder="1" applyProtection="1">
      <protection hidden="1"/>
    </xf>
    <xf numFmtId="0" fontId="6" fillId="12" borderId="33" xfId="4" applyFont="1" applyFill="1" applyBorder="1" applyProtection="1">
      <protection hidden="1"/>
    </xf>
    <xf numFmtId="172" fontId="6" fillId="5" borderId="3" xfId="7" applyNumberFormat="1" applyFont="1" applyFill="1" applyBorder="1" applyAlignment="1" applyProtection="1">
      <alignment vertical="center"/>
      <protection hidden="1"/>
    </xf>
    <xf numFmtId="172" fontId="6" fillId="5" borderId="5" xfId="7" applyNumberFormat="1" applyFont="1" applyFill="1" applyBorder="1" applyAlignment="1" applyProtection="1">
      <alignment vertical="center"/>
      <protection hidden="1"/>
    </xf>
    <xf numFmtId="0" fontId="6" fillId="5" borderId="45" xfId="4" applyFont="1" applyFill="1" applyBorder="1" applyProtection="1">
      <protection hidden="1"/>
    </xf>
    <xf numFmtId="180" fontId="6" fillId="12" borderId="3" xfId="4" applyNumberFormat="1" applyFont="1" applyFill="1" applyBorder="1" applyAlignment="1" applyProtection="1">
      <alignment vertical="center"/>
      <protection hidden="1"/>
    </xf>
    <xf numFmtId="180" fontId="6" fillId="12" borderId="5" xfId="4" applyNumberFormat="1" applyFont="1" applyFill="1" applyBorder="1" applyAlignment="1" applyProtection="1">
      <alignment vertical="center"/>
      <protection hidden="1"/>
    </xf>
    <xf numFmtId="180" fontId="7" fillId="12" borderId="4" xfId="4" applyNumberFormat="1" applyFont="1" applyFill="1" applyBorder="1" applyAlignment="1" applyProtection="1">
      <alignment vertical="center"/>
      <protection hidden="1"/>
    </xf>
    <xf numFmtId="176" fontId="6" fillId="12" borderId="10" xfId="4" applyNumberFormat="1" applyFont="1" applyFill="1" applyBorder="1" applyAlignment="1" applyProtection="1">
      <alignment vertical="center"/>
      <protection hidden="1"/>
    </xf>
    <xf numFmtId="176" fontId="6" fillId="12" borderId="7" xfId="4" applyNumberFormat="1" applyFont="1" applyFill="1" applyBorder="1" applyAlignment="1" applyProtection="1">
      <alignment vertical="center"/>
      <protection hidden="1"/>
    </xf>
    <xf numFmtId="176" fontId="6" fillId="12" borderId="11" xfId="4" applyNumberFormat="1" applyFont="1" applyFill="1" applyBorder="1" applyAlignment="1" applyProtection="1">
      <alignment vertical="center"/>
      <protection hidden="1"/>
    </xf>
    <xf numFmtId="172" fontId="6" fillId="5" borderId="30" xfId="7" applyNumberFormat="1" applyFont="1" applyFill="1" applyBorder="1" applyAlignment="1" applyProtection="1">
      <alignment vertical="center"/>
      <protection locked="0"/>
    </xf>
    <xf numFmtId="172" fontId="6" fillId="5" borderId="32" xfId="7" applyNumberFormat="1" applyFont="1" applyFill="1" applyBorder="1" applyAlignment="1" applyProtection="1">
      <alignment vertical="center"/>
      <protection locked="0"/>
    </xf>
    <xf numFmtId="176" fontId="5" fillId="5" borderId="40" xfId="4" applyNumberFormat="1" applyFont="1" applyFill="1" applyBorder="1" applyAlignment="1" applyProtection="1">
      <alignment horizontal="right" vertical="center" indent="1"/>
      <protection locked="0"/>
    </xf>
    <xf numFmtId="172" fontId="6" fillId="5" borderId="31" xfId="7" applyNumberFormat="1" applyFont="1" applyFill="1" applyBorder="1" applyAlignment="1" applyProtection="1">
      <alignment vertical="center"/>
      <protection locked="0"/>
    </xf>
    <xf numFmtId="0" fontId="6" fillId="5" borderId="31" xfId="4" applyFont="1" applyFill="1" applyBorder="1" applyProtection="1">
      <protection locked="0"/>
    </xf>
    <xf numFmtId="0" fontId="6" fillId="5" borderId="33" xfId="4" applyFont="1" applyFill="1" applyBorder="1" applyProtection="1">
      <protection locked="0"/>
    </xf>
    <xf numFmtId="0" fontId="6" fillId="7" borderId="27" xfId="4" applyFont="1" applyFill="1" applyBorder="1" applyProtection="1">
      <protection hidden="1"/>
    </xf>
    <xf numFmtId="0" fontId="6" fillId="7" borderId="28" xfId="4" applyFont="1" applyFill="1" applyBorder="1" applyProtection="1">
      <protection hidden="1"/>
    </xf>
    <xf numFmtId="0" fontId="6" fillId="12" borderId="27" xfId="4" applyFont="1" applyFill="1" applyBorder="1" applyProtection="1">
      <protection hidden="1"/>
    </xf>
    <xf numFmtId="0" fontId="6" fillId="12" borderId="28" xfId="4" applyFont="1" applyFill="1" applyBorder="1" applyProtection="1">
      <protection hidden="1"/>
    </xf>
    <xf numFmtId="0" fontId="7" fillId="5" borderId="12" xfId="4" applyFont="1" applyFill="1" applyBorder="1" applyAlignment="1" applyProtection="1">
      <alignment horizontal="left" vertical="center" indent="3"/>
      <protection hidden="1"/>
    </xf>
    <xf numFmtId="180" fontId="7" fillId="7" borderId="36" xfId="4" applyNumberFormat="1" applyFont="1" applyFill="1" applyBorder="1" applyAlignment="1" applyProtection="1">
      <alignment vertical="center"/>
      <protection hidden="1"/>
    </xf>
    <xf numFmtId="180" fontId="7" fillId="12" borderId="36" xfId="4" applyNumberFormat="1" applyFont="1" applyFill="1" applyBorder="1" applyAlignment="1" applyProtection="1">
      <alignment vertical="center"/>
      <protection hidden="1"/>
    </xf>
    <xf numFmtId="0" fontId="6" fillId="5" borderId="46" xfId="4" applyNumberFormat="1" applyFont="1" applyFill="1" applyBorder="1" applyAlignment="1" applyProtection="1">
      <protection hidden="1"/>
    </xf>
    <xf numFmtId="0" fontId="6" fillId="5" borderId="20" xfId="4" applyNumberFormat="1" applyFont="1" applyFill="1" applyBorder="1" applyAlignment="1" applyProtection="1">
      <protection hidden="1"/>
    </xf>
    <xf numFmtId="180" fontId="7" fillId="5" borderId="57" xfId="4" applyNumberFormat="1" applyFont="1" applyFill="1" applyBorder="1" applyAlignment="1" applyProtection="1">
      <alignment vertical="center"/>
      <protection hidden="1"/>
    </xf>
    <xf numFmtId="179" fontId="7" fillId="5" borderId="20" xfId="4" applyNumberFormat="1" applyFont="1" applyFill="1" applyBorder="1" applyAlignment="1" applyProtection="1">
      <alignment vertical="center"/>
      <protection hidden="1"/>
    </xf>
    <xf numFmtId="180" fontId="7" fillId="5" borderId="56" xfId="4" applyNumberFormat="1" applyFont="1" applyFill="1" applyBorder="1" applyAlignment="1" applyProtection="1">
      <alignment vertical="center"/>
      <protection hidden="1"/>
    </xf>
    <xf numFmtId="180" fontId="7" fillId="5" borderId="20" xfId="4" applyNumberFormat="1" applyFont="1" applyFill="1" applyBorder="1" applyAlignment="1" applyProtection="1">
      <alignment vertical="center"/>
      <protection hidden="1"/>
    </xf>
    <xf numFmtId="180" fontId="7" fillId="5" borderId="19" xfId="4" applyNumberFormat="1" applyFont="1" applyFill="1" applyBorder="1" applyAlignment="1" applyProtection="1">
      <alignment vertical="center"/>
      <protection hidden="1"/>
    </xf>
    <xf numFmtId="180" fontId="7" fillId="7" borderId="19" xfId="4" applyNumberFormat="1" applyFont="1" applyFill="1" applyBorder="1" applyAlignment="1" applyProtection="1">
      <alignment vertical="center"/>
      <protection hidden="1"/>
    </xf>
    <xf numFmtId="180" fontId="7" fillId="7" borderId="20" xfId="4" applyNumberFormat="1" applyFont="1" applyFill="1" applyBorder="1" applyAlignment="1" applyProtection="1">
      <alignment vertical="center"/>
      <protection hidden="1"/>
    </xf>
    <xf numFmtId="180" fontId="7" fillId="12" borderId="19" xfId="4" applyNumberFormat="1" applyFont="1" applyFill="1" applyBorder="1" applyAlignment="1" applyProtection="1">
      <alignment vertical="center"/>
      <protection hidden="1"/>
    </xf>
    <xf numFmtId="180" fontId="7" fillId="12" borderId="20" xfId="4" applyNumberFormat="1" applyFont="1" applyFill="1" applyBorder="1" applyAlignment="1" applyProtection="1">
      <alignment vertical="center"/>
      <protection hidden="1"/>
    </xf>
    <xf numFmtId="0" fontId="6" fillId="7" borderId="0" xfId="4" applyFont="1" applyFill="1" applyBorder="1" applyProtection="1">
      <protection hidden="1"/>
    </xf>
    <xf numFmtId="0" fontId="6" fillId="5" borderId="0" xfId="4" quotePrefix="1" applyFont="1" applyFill="1" applyBorder="1" applyProtection="1">
      <protection hidden="1"/>
    </xf>
    <xf numFmtId="180" fontId="6" fillId="7" borderId="0" xfId="4" applyNumberFormat="1" applyFont="1" applyFill="1" applyBorder="1" applyAlignment="1" applyProtection="1">
      <protection hidden="1"/>
    </xf>
    <xf numFmtId="180" fontId="6" fillId="12" borderId="0" xfId="4" applyNumberFormat="1" applyFont="1" applyFill="1" applyBorder="1" applyAlignment="1" applyProtection="1">
      <protection hidden="1"/>
    </xf>
    <xf numFmtId="180" fontId="6" fillId="7" borderId="0" xfId="4" applyNumberFormat="1" applyFont="1" applyFill="1" applyBorder="1" applyProtection="1">
      <protection hidden="1"/>
    </xf>
    <xf numFmtId="172" fontId="6" fillId="9" borderId="9" xfId="4" applyNumberFormat="1" applyFont="1" applyFill="1" applyBorder="1" applyAlignment="1" applyProtection="1">
      <alignment vertical="center"/>
      <protection hidden="1"/>
    </xf>
    <xf numFmtId="180" fontId="6" fillId="0" borderId="4" xfId="4" applyNumberFormat="1" applyFont="1" applyFill="1" applyBorder="1" applyAlignment="1" applyProtection="1">
      <alignment vertical="center"/>
      <protection locked="0"/>
    </xf>
    <xf numFmtId="0" fontId="24" fillId="5" borderId="12" xfId="4" applyFont="1" applyFill="1" applyBorder="1" applyAlignment="1" applyProtection="1">
      <alignment horizontal="left" vertical="center" indent="4"/>
      <protection hidden="1"/>
    </xf>
    <xf numFmtId="178" fontId="6" fillId="9" borderId="5" xfId="7" applyNumberFormat="1" applyFont="1" applyFill="1" applyBorder="1" applyAlignment="1" applyProtection="1">
      <alignment vertical="center"/>
      <protection hidden="1"/>
    </xf>
    <xf numFmtId="180" fontId="17" fillId="9" borderId="50" xfId="4" applyNumberFormat="1" applyFont="1" applyFill="1" applyBorder="1" applyAlignment="1" applyProtection="1">
      <alignment vertical="center"/>
      <protection hidden="1"/>
    </xf>
    <xf numFmtId="180" fontId="7" fillId="9" borderId="5" xfId="4" applyNumberFormat="1" applyFont="1" applyFill="1" applyBorder="1" applyAlignment="1" applyProtection="1">
      <alignment vertical="center"/>
      <protection hidden="1"/>
    </xf>
    <xf numFmtId="180" fontId="7" fillId="9" borderId="50" xfId="4" applyNumberFormat="1" applyFont="1" applyFill="1" applyBorder="1" applyAlignment="1" applyProtection="1">
      <alignment vertical="center"/>
      <protection hidden="1"/>
    </xf>
    <xf numFmtId="180" fontId="17" fillId="9" borderId="44" xfId="4" applyNumberFormat="1" applyFont="1" applyFill="1" applyBorder="1" applyAlignment="1" applyProtection="1">
      <alignment vertical="center"/>
      <protection hidden="1"/>
    </xf>
    <xf numFmtId="180" fontId="7" fillId="9" borderId="1" xfId="4" applyNumberFormat="1" applyFont="1" applyFill="1" applyBorder="1" applyAlignment="1" applyProtection="1">
      <alignment vertical="center"/>
      <protection hidden="1"/>
    </xf>
    <xf numFmtId="0" fontId="7" fillId="5" borderId="8" xfId="4" applyFont="1" applyFill="1" applyBorder="1" applyAlignment="1" applyProtection="1">
      <alignment horizontal="center" vertical="top"/>
      <protection hidden="1"/>
    </xf>
    <xf numFmtId="178" fontId="6" fillId="9" borderId="31" xfId="7" applyNumberFormat="1" applyFont="1" applyFill="1" applyBorder="1" applyAlignment="1" applyProtection="1">
      <alignment vertical="center"/>
      <protection hidden="1"/>
    </xf>
    <xf numFmtId="180" fontId="17" fillId="9" borderId="35" xfId="4" applyNumberFormat="1" applyFont="1" applyFill="1" applyBorder="1" applyAlignment="1" applyProtection="1">
      <alignment vertical="center"/>
      <protection hidden="1"/>
    </xf>
    <xf numFmtId="0" fontId="7" fillId="3" borderId="7" xfId="0" applyFont="1" applyFill="1" applyBorder="1" applyAlignment="1" applyProtection="1">
      <alignment horizontal="center" vertical="top"/>
      <protection hidden="1"/>
    </xf>
    <xf numFmtId="0" fontId="7" fillId="3" borderId="0" xfId="0" applyFont="1" applyFill="1" applyBorder="1" applyAlignment="1" applyProtection="1">
      <alignment horizontal="center" vertical="top"/>
      <protection hidden="1"/>
    </xf>
    <xf numFmtId="0" fontId="7" fillId="3" borderId="11" xfId="0" applyFont="1" applyFill="1" applyBorder="1" applyAlignment="1" applyProtection="1">
      <alignment horizontal="center" vertical="top" wrapText="1"/>
      <protection hidden="1"/>
    </xf>
    <xf numFmtId="0" fontId="7" fillId="2" borderId="0" xfId="0" applyFont="1" applyFill="1" applyBorder="1" applyAlignment="1" applyProtection="1">
      <alignment horizontal="center" vertical="center" wrapText="1"/>
      <protection hidden="1"/>
    </xf>
    <xf numFmtId="180" fontId="17" fillId="2" borderId="35" xfId="0" applyNumberFormat="1" applyFont="1" applyFill="1" applyBorder="1" applyAlignment="1" applyProtection="1">
      <alignment vertical="center"/>
      <protection hidden="1"/>
    </xf>
    <xf numFmtId="180" fontId="17" fillId="2" borderId="45" xfId="0" applyNumberFormat="1" applyFont="1" applyFill="1" applyBorder="1" applyAlignment="1" applyProtection="1">
      <alignment vertical="center"/>
      <protection hidden="1"/>
    </xf>
    <xf numFmtId="180" fontId="17" fillId="2" borderId="53" xfId="0" applyNumberFormat="1" applyFont="1" applyFill="1" applyBorder="1" applyAlignment="1" applyProtection="1">
      <alignment vertical="center"/>
      <protection hidden="1"/>
    </xf>
    <xf numFmtId="169" fontId="6" fillId="3" borderId="11" xfId="0" applyNumberFormat="1"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top" wrapText="1"/>
      <protection hidden="1"/>
    </xf>
    <xf numFmtId="0" fontId="7" fillId="9" borderId="0" xfId="0" applyFont="1" applyFill="1" applyBorder="1" applyAlignment="1" applyProtection="1">
      <alignment vertical="top" wrapText="1"/>
      <protection hidden="1"/>
    </xf>
    <xf numFmtId="0" fontId="6" fillId="9" borderId="0" xfId="0" applyFont="1" applyFill="1" applyBorder="1" applyProtection="1">
      <protection hidden="1"/>
    </xf>
    <xf numFmtId="168" fontId="5" fillId="9" borderId="23" xfId="0" applyNumberFormat="1" applyFont="1" applyFill="1" applyBorder="1" applyAlignment="1" applyProtection="1">
      <alignment horizontal="left" vertical="center"/>
      <protection hidden="1"/>
    </xf>
    <xf numFmtId="170" fontId="6" fillId="9" borderId="22" xfId="0" applyNumberFormat="1" applyFont="1" applyFill="1" applyBorder="1" applyAlignment="1" applyProtection="1">
      <alignment horizontal="left" vertical="center"/>
      <protection hidden="1"/>
    </xf>
    <xf numFmtId="180" fontId="7" fillId="2" borderId="13" xfId="0" applyNumberFormat="1" applyFont="1" applyFill="1" applyBorder="1" applyAlignment="1" applyProtection="1">
      <alignment vertical="center"/>
      <protection hidden="1"/>
    </xf>
    <xf numFmtId="0" fontId="6" fillId="9" borderId="0" xfId="0" applyFont="1" applyFill="1" applyProtection="1">
      <protection hidden="1"/>
    </xf>
    <xf numFmtId="0" fontId="6" fillId="5" borderId="0" xfId="0" applyFont="1" applyFill="1" applyBorder="1" applyProtection="1">
      <protection hidden="1"/>
    </xf>
    <xf numFmtId="0" fontId="15" fillId="9" borderId="9" xfId="0" quotePrefix="1" applyFont="1" applyFill="1" applyBorder="1" applyAlignment="1" applyProtection="1">
      <alignment horizontal="center" vertical="center"/>
      <protection hidden="1"/>
    </xf>
    <xf numFmtId="180" fontId="7" fillId="2" borderId="16" xfId="0" applyNumberFormat="1" applyFont="1" applyFill="1" applyBorder="1" applyAlignment="1" applyProtection="1">
      <alignment vertical="center"/>
      <protection hidden="1"/>
    </xf>
    <xf numFmtId="180" fontId="7" fillId="9" borderId="20" xfId="0" applyNumberFormat="1" applyFont="1" applyFill="1" applyBorder="1" applyAlignment="1" applyProtection="1">
      <alignment vertical="center"/>
      <protection hidden="1"/>
    </xf>
    <xf numFmtId="180" fontId="7" fillId="9" borderId="48" xfId="0" applyNumberFormat="1" applyFont="1" applyFill="1" applyBorder="1" applyAlignment="1" applyProtection="1">
      <alignment vertical="center"/>
      <protection hidden="1"/>
    </xf>
    <xf numFmtId="178" fontId="6" fillId="0" borderId="65" xfId="0" applyNumberFormat="1" applyFont="1" applyFill="1" applyBorder="1" applyAlignment="1" applyProtection="1">
      <alignment vertical="center"/>
      <protection locked="0"/>
    </xf>
    <xf numFmtId="0" fontId="7" fillId="9" borderId="6" xfId="0" applyFont="1" applyFill="1" applyBorder="1" applyAlignment="1" applyProtection="1">
      <alignment vertical="top" wrapText="1"/>
      <protection hidden="1"/>
    </xf>
    <xf numFmtId="0" fontId="6" fillId="9" borderId="6" xfId="0" applyFont="1" applyFill="1" applyBorder="1" applyProtection="1">
      <protection hidden="1"/>
    </xf>
    <xf numFmtId="0" fontId="7" fillId="3" borderId="0" xfId="0" applyFont="1" applyFill="1" applyBorder="1" applyAlignment="1" applyProtection="1">
      <alignment horizontal="right" vertical="center" indent="1"/>
      <protection hidden="1"/>
    </xf>
    <xf numFmtId="169" fontId="6" fillId="3" borderId="0" xfId="0" applyNumberFormat="1" applyFont="1" applyFill="1" applyBorder="1" applyProtection="1">
      <protection hidden="1"/>
    </xf>
    <xf numFmtId="183" fontId="6" fillId="3" borderId="0" xfId="0" applyNumberFormat="1" applyFont="1" applyFill="1" applyBorder="1" applyAlignment="1" applyProtection="1">
      <alignment horizontal="center" vertical="center"/>
      <protection hidden="1"/>
    </xf>
    <xf numFmtId="0" fontId="7" fillId="2" borderId="77" xfId="0" applyFont="1" applyFill="1" applyBorder="1" applyAlignment="1" applyProtection="1">
      <alignment horizontal="center" vertical="center" wrapText="1"/>
      <protection hidden="1"/>
    </xf>
    <xf numFmtId="0" fontId="7" fillId="2" borderId="81" xfId="0" applyFont="1" applyFill="1" applyBorder="1" applyAlignment="1" applyProtection="1">
      <alignment horizontal="center" vertical="center" wrapText="1"/>
      <protection hidden="1"/>
    </xf>
    <xf numFmtId="0" fontId="7" fillId="2" borderId="72"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xf numFmtId="0" fontId="7" fillId="2" borderId="11" xfId="0" applyFont="1" applyFill="1" applyBorder="1" applyAlignment="1" applyProtection="1">
      <alignment horizontal="center" vertical="center" wrapText="1"/>
      <protection hidden="1"/>
    </xf>
    <xf numFmtId="0" fontId="6" fillId="2" borderId="27" xfId="0" applyFont="1" applyFill="1" applyBorder="1" applyAlignment="1" applyProtection="1">
      <protection hidden="1"/>
    </xf>
    <xf numFmtId="0" fontId="6" fillId="2" borderId="11" xfId="0" applyFont="1" applyFill="1" applyBorder="1" applyAlignment="1" applyProtection="1">
      <protection hidden="1"/>
    </xf>
    <xf numFmtId="0" fontId="6" fillId="2" borderId="35" xfId="0" applyFont="1" applyFill="1" applyBorder="1" applyAlignment="1" applyProtection="1">
      <alignment horizontal="center" vertical="center"/>
      <protection hidden="1"/>
    </xf>
    <xf numFmtId="0" fontId="6" fillId="2" borderId="11" xfId="0" applyFont="1" applyFill="1" applyBorder="1" applyProtection="1">
      <protection hidden="1"/>
    </xf>
    <xf numFmtId="0" fontId="6" fillId="2" borderId="6"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169" fontId="6" fillId="2" borderId="6" xfId="0" applyNumberFormat="1" applyFont="1" applyFill="1" applyBorder="1" applyAlignment="1" applyProtection="1">
      <alignment horizontal="center"/>
      <protection hidden="1"/>
    </xf>
    <xf numFmtId="169" fontId="6" fillId="2" borderId="6" xfId="0" applyNumberFormat="1" applyFont="1" applyFill="1" applyBorder="1" applyAlignment="1" applyProtection="1">
      <alignment vertical="center"/>
      <protection hidden="1"/>
    </xf>
    <xf numFmtId="169" fontId="6" fillId="2" borderId="27" xfId="0" applyNumberFormat="1" applyFont="1" applyFill="1" applyBorder="1" applyAlignment="1" applyProtection="1">
      <alignment vertical="center"/>
      <protection hidden="1"/>
    </xf>
    <xf numFmtId="0" fontId="6" fillId="2" borderId="37" xfId="0" applyFont="1" applyFill="1" applyBorder="1" applyProtection="1">
      <protection hidden="1"/>
    </xf>
    <xf numFmtId="0" fontId="7" fillId="2" borderId="8" xfId="0" applyFont="1" applyFill="1" applyBorder="1" applyAlignment="1" applyProtection="1">
      <alignment horizontal="center" vertical="center" wrapText="1"/>
      <protection hidden="1"/>
    </xf>
    <xf numFmtId="2" fontId="6" fillId="2" borderId="6" xfId="0" applyNumberFormat="1" applyFont="1" applyFill="1" applyBorder="1" applyAlignment="1" applyProtection="1">
      <alignment horizontal="center" vertical="center" wrapText="1"/>
      <protection hidden="1"/>
    </xf>
    <xf numFmtId="2" fontId="6" fillId="2" borderId="8" xfId="0" applyNumberFormat="1" applyFont="1" applyFill="1" applyBorder="1" applyAlignment="1" applyProtection="1">
      <alignment horizontal="center" vertical="center"/>
      <protection hidden="1"/>
    </xf>
    <xf numFmtId="0" fontId="6" fillId="2" borderId="29" xfId="0" applyFont="1" applyFill="1" applyBorder="1" applyAlignment="1" applyProtection="1">
      <protection hidden="1"/>
    </xf>
    <xf numFmtId="0" fontId="6" fillId="2" borderId="53" xfId="0" applyFont="1" applyFill="1" applyBorder="1" applyAlignment="1" applyProtection="1">
      <alignment horizontal="center" vertical="center"/>
      <protection hidden="1"/>
    </xf>
    <xf numFmtId="0" fontId="7" fillId="2" borderId="25" xfId="0" applyFont="1" applyFill="1" applyBorder="1" applyAlignment="1" applyProtection="1">
      <alignment horizontal="center" vertical="center" wrapText="1"/>
      <protection hidden="1"/>
    </xf>
    <xf numFmtId="0" fontId="7" fillId="2" borderId="29" xfId="0" applyFont="1" applyFill="1" applyBorder="1" applyAlignment="1" applyProtection="1">
      <alignment horizontal="center" vertical="center" wrapText="1"/>
      <protection hidden="1"/>
    </xf>
    <xf numFmtId="183" fontId="6" fillId="3" borderId="17" xfId="0" applyNumberFormat="1" applyFont="1" applyFill="1" applyBorder="1" applyAlignment="1" applyProtection="1">
      <alignment horizontal="center" vertical="center"/>
      <protection hidden="1"/>
    </xf>
    <xf numFmtId="180" fontId="6" fillId="7" borderId="36" xfId="4" applyNumberFormat="1" applyFont="1" applyFill="1" applyBorder="1" applyAlignment="1" applyProtection="1">
      <alignment vertical="center"/>
      <protection hidden="1"/>
    </xf>
    <xf numFmtId="180" fontId="6" fillId="7" borderId="28" xfId="4" applyNumberFormat="1" applyFont="1" applyFill="1" applyBorder="1" applyAlignment="1" applyProtection="1">
      <alignment vertical="center"/>
      <protection hidden="1"/>
    </xf>
    <xf numFmtId="176" fontId="6" fillId="7" borderId="36" xfId="4" applyNumberFormat="1" applyFont="1" applyFill="1" applyBorder="1" applyAlignment="1" applyProtection="1">
      <alignment vertical="center"/>
      <protection hidden="1"/>
    </xf>
    <xf numFmtId="176" fontId="6" fillId="7" borderId="28" xfId="4" applyNumberFormat="1" applyFont="1" applyFill="1" applyBorder="1" applyAlignment="1" applyProtection="1">
      <alignment vertical="center"/>
      <protection hidden="1"/>
    </xf>
    <xf numFmtId="180" fontId="7" fillId="12" borderId="16" xfId="4" applyNumberFormat="1" applyFont="1" applyFill="1" applyBorder="1" applyAlignment="1" applyProtection="1">
      <alignment vertical="center"/>
      <protection hidden="1"/>
    </xf>
    <xf numFmtId="180" fontId="6" fillId="12" borderId="30" xfId="4" applyNumberFormat="1" applyFont="1" applyFill="1" applyBorder="1" applyAlignment="1" applyProtection="1">
      <alignment vertical="center"/>
      <protection hidden="1"/>
    </xf>
    <xf numFmtId="176" fontId="6" fillId="12" borderId="33" xfId="4" applyNumberFormat="1" applyFont="1" applyFill="1" applyBorder="1" applyAlignment="1" applyProtection="1">
      <alignment vertical="center"/>
      <protection hidden="1"/>
    </xf>
    <xf numFmtId="176" fontId="6" fillId="12" borderId="50" xfId="4" applyNumberFormat="1" applyFont="1" applyFill="1" applyBorder="1" applyAlignment="1" applyProtection="1">
      <alignment vertical="center"/>
      <protection hidden="1"/>
    </xf>
    <xf numFmtId="176" fontId="6" fillId="12" borderId="32" xfId="4" applyNumberFormat="1" applyFont="1" applyFill="1" applyBorder="1" applyAlignment="1" applyProtection="1">
      <alignment vertical="center"/>
      <protection hidden="1"/>
    </xf>
    <xf numFmtId="176" fontId="7" fillId="12" borderId="64" xfId="4" applyNumberFormat="1" applyFont="1" applyFill="1" applyBorder="1" applyAlignment="1" applyProtection="1">
      <alignment vertical="center"/>
      <protection hidden="1"/>
    </xf>
    <xf numFmtId="0" fontId="25" fillId="5" borderId="0" xfId="0" applyFont="1" applyFill="1" applyAlignment="1" applyProtection="1">
      <alignment vertical="center"/>
      <protection hidden="1"/>
    </xf>
    <xf numFmtId="175" fontId="10" fillId="0" borderId="10" xfId="4" applyNumberFormat="1" applyFont="1" applyFill="1" applyBorder="1" applyAlignment="1" applyProtection="1">
      <alignment vertical="center"/>
      <protection hidden="1"/>
    </xf>
    <xf numFmtId="175" fontId="10" fillId="0" borderId="34" xfId="4" applyNumberFormat="1" applyFont="1" applyFill="1" applyBorder="1" applyAlignment="1" applyProtection="1">
      <alignment vertical="center"/>
      <protection hidden="1"/>
    </xf>
    <xf numFmtId="0" fontId="7" fillId="2" borderId="5" xfId="0" applyFont="1" applyFill="1" applyBorder="1" applyAlignment="1" applyProtection="1">
      <alignment horizontal="center" vertical="top" wrapText="1"/>
      <protection hidden="1"/>
    </xf>
    <xf numFmtId="0" fontId="7" fillId="2" borderId="13" xfId="0" applyFont="1" applyFill="1" applyBorder="1" applyAlignment="1" applyProtection="1">
      <alignment horizontal="center" vertical="top" wrapText="1"/>
      <protection hidden="1"/>
    </xf>
    <xf numFmtId="0" fontId="7" fillId="0" borderId="7" xfId="5" applyNumberFormat="1" applyFont="1" applyFill="1" applyBorder="1" applyAlignment="1" applyProtection="1">
      <alignment horizontal="center" vertical="top" wrapText="1"/>
      <protection hidden="1"/>
    </xf>
    <xf numFmtId="0" fontId="9" fillId="0" borderId="0" xfId="0" applyNumberFormat="1" applyFont="1" applyFill="1" applyProtection="1">
      <protection hidden="1"/>
    </xf>
    <xf numFmtId="0" fontId="6" fillId="5" borderId="0" xfId="0" applyFont="1" applyFill="1" applyBorder="1" applyAlignment="1" applyProtection="1">
      <alignment horizontal="center" vertical="center" wrapText="1"/>
      <protection hidden="1"/>
    </xf>
    <xf numFmtId="0" fontId="18" fillId="5" borderId="0" xfId="0" applyFont="1" applyFill="1" applyBorder="1" applyAlignment="1" applyProtection="1">
      <protection hidden="1"/>
    </xf>
    <xf numFmtId="172" fontId="7" fillId="5" borderId="0" xfId="0" applyNumberFormat="1" applyFont="1" applyFill="1" applyBorder="1" applyAlignment="1" applyProtection="1">
      <protection hidden="1"/>
    </xf>
    <xf numFmtId="0" fontId="6" fillId="5" borderId="0" xfId="0" applyFont="1" applyFill="1" applyBorder="1" applyAlignment="1" applyProtection="1">
      <alignment vertical="center"/>
      <protection hidden="1"/>
    </xf>
    <xf numFmtId="0" fontId="6" fillId="5" borderId="64" xfId="0" applyFont="1" applyFill="1" applyBorder="1" applyAlignment="1" applyProtection="1">
      <alignment vertical="center"/>
      <protection hidden="1"/>
    </xf>
    <xf numFmtId="172" fontId="7" fillId="5" borderId="22" xfId="0" applyNumberFormat="1" applyFont="1" applyFill="1" applyBorder="1" applyAlignment="1" applyProtection="1">
      <alignment horizontal="center" vertical="top" wrapText="1"/>
      <protection hidden="1"/>
    </xf>
    <xf numFmtId="172" fontId="7" fillId="5" borderId="25" xfId="0" applyNumberFormat="1" applyFont="1" applyFill="1" applyBorder="1" applyAlignment="1" applyProtection="1">
      <alignment horizontal="center" vertical="top" wrapText="1"/>
      <protection hidden="1"/>
    </xf>
    <xf numFmtId="0" fontId="7" fillId="5" borderId="7" xfId="0" applyFont="1" applyFill="1" applyBorder="1" applyAlignment="1" applyProtection="1">
      <alignment horizontal="center" vertical="center"/>
      <protection hidden="1"/>
    </xf>
    <xf numFmtId="172" fontId="7" fillId="5" borderId="7" xfId="0" applyNumberFormat="1" applyFont="1" applyFill="1" applyBorder="1" applyAlignment="1" applyProtection="1">
      <alignment horizontal="center" vertical="center"/>
      <protection hidden="1"/>
    </xf>
    <xf numFmtId="172" fontId="7" fillId="5" borderId="2" xfId="0" applyNumberFormat="1" applyFont="1" applyFill="1" applyBorder="1" applyAlignment="1" applyProtection="1">
      <alignment horizontal="center" vertical="center"/>
      <protection hidden="1"/>
    </xf>
    <xf numFmtId="172" fontId="7" fillId="5" borderId="8" xfId="0" applyNumberFormat="1" applyFont="1" applyFill="1" applyBorder="1" applyAlignment="1" applyProtection="1">
      <alignment horizontal="center" vertical="center"/>
      <protection hidden="1"/>
    </xf>
    <xf numFmtId="0" fontId="6" fillId="5" borderId="36" xfId="0" applyFont="1" applyFill="1" applyBorder="1" applyAlignment="1" applyProtection="1">
      <alignment horizontal="left" vertical="center" wrapText="1" indent="2"/>
      <protection hidden="1"/>
    </xf>
    <xf numFmtId="165" fontId="19" fillId="5" borderId="10" xfId="0" applyNumberFormat="1" applyFont="1" applyFill="1" applyBorder="1" applyAlignment="1" applyProtection="1">
      <alignment horizontal="left" vertical="center" indent="1"/>
      <protection hidden="1"/>
    </xf>
    <xf numFmtId="172" fontId="6" fillId="5" borderId="68" xfId="0" quotePrefix="1" applyNumberFormat="1" applyFont="1" applyFill="1" applyBorder="1" applyAlignment="1" applyProtection="1">
      <alignment horizontal="center" vertical="center"/>
      <protection hidden="1"/>
    </xf>
    <xf numFmtId="172" fontId="6" fillId="5" borderId="7" xfId="0" quotePrefix="1" applyNumberFormat="1" applyFont="1" applyFill="1" applyBorder="1" applyAlignment="1" applyProtection="1">
      <alignment horizontal="center" vertical="center"/>
      <protection hidden="1"/>
    </xf>
    <xf numFmtId="0" fontId="18" fillId="5" borderId="11" xfId="0" applyFont="1" applyFill="1" applyBorder="1" applyAlignment="1" applyProtection="1">
      <protection hidden="1"/>
    </xf>
    <xf numFmtId="0" fontId="7" fillId="5" borderId="10" xfId="0" applyFont="1" applyFill="1" applyBorder="1" applyAlignment="1" applyProtection="1">
      <alignment horizontal="left" vertical="center" indent="2"/>
      <protection hidden="1"/>
    </xf>
    <xf numFmtId="176" fontId="17" fillId="5" borderId="31" xfId="0" applyNumberFormat="1" applyFont="1" applyFill="1" applyBorder="1" applyAlignment="1" applyProtection="1">
      <alignment vertical="center"/>
      <protection hidden="1"/>
    </xf>
    <xf numFmtId="0" fontId="7" fillId="5" borderId="35" xfId="0" applyFont="1" applyFill="1" applyBorder="1" applyAlignment="1" applyProtection="1">
      <alignment horizontal="center" vertical="center"/>
      <protection hidden="1"/>
    </xf>
    <xf numFmtId="0" fontId="7" fillId="5" borderId="36" xfId="0" applyFont="1" applyFill="1" applyBorder="1" applyAlignment="1" applyProtection="1">
      <alignment horizontal="left" vertical="center" indent="2"/>
      <protection hidden="1"/>
    </xf>
    <xf numFmtId="0" fontId="19" fillId="5" borderId="10" xfId="0" applyFont="1" applyFill="1" applyBorder="1" applyAlignment="1" applyProtection="1">
      <alignment horizontal="left" vertical="center" indent="1"/>
      <protection hidden="1"/>
    </xf>
    <xf numFmtId="172" fontId="6" fillId="5" borderId="68" xfId="0" applyNumberFormat="1" applyFont="1" applyFill="1" applyBorder="1" applyAlignment="1" applyProtection="1">
      <alignment vertical="center"/>
      <protection hidden="1"/>
    </xf>
    <xf numFmtId="172" fontId="6" fillId="5" borderId="67" xfId="0" applyNumberFormat="1" applyFont="1" applyFill="1" applyBorder="1" applyAlignment="1" applyProtection="1">
      <alignment vertical="center"/>
      <protection hidden="1"/>
    </xf>
    <xf numFmtId="172" fontId="6" fillId="5" borderId="7" xfId="0" applyNumberFormat="1" applyFont="1" applyFill="1" applyBorder="1" applyAlignment="1" applyProtection="1">
      <alignment vertical="center"/>
      <protection hidden="1"/>
    </xf>
    <xf numFmtId="172" fontId="5" fillId="5" borderId="68" xfId="0" applyNumberFormat="1" applyFont="1" applyFill="1" applyBorder="1" applyAlignment="1" applyProtection="1">
      <alignment vertical="center"/>
      <protection hidden="1"/>
    </xf>
    <xf numFmtId="176" fontId="5" fillId="5" borderId="7" xfId="0" applyNumberFormat="1" applyFont="1" applyFill="1" applyBorder="1" applyAlignment="1" applyProtection="1">
      <alignment vertical="center"/>
      <protection hidden="1"/>
    </xf>
    <xf numFmtId="176" fontId="17" fillId="5" borderId="49" xfId="0" applyNumberFormat="1" applyFont="1" applyFill="1" applyBorder="1" applyAlignment="1" applyProtection="1">
      <alignment vertical="center"/>
      <protection hidden="1"/>
    </xf>
    <xf numFmtId="0" fontId="7" fillId="5" borderId="51" xfId="0" applyFont="1" applyFill="1" applyBorder="1" applyAlignment="1" applyProtection="1">
      <alignment horizontal="center" vertical="center"/>
      <protection hidden="1"/>
    </xf>
    <xf numFmtId="172" fontId="6" fillId="5" borderId="0" xfId="0" applyNumberFormat="1" applyFont="1" applyFill="1" applyBorder="1" applyAlignment="1" applyProtection="1">
      <alignment horizontal="center"/>
      <protection hidden="1"/>
    </xf>
    <xf numFmtId="0" fontId="6" fillId="5" borderId="10" xfId="0" applyFont="1" applyFill="1" applyBorder="1" applyProtection="1">
      <protection hidden="1"/>
    </xf>
    <xf numFmtId="0" fontId="6" fillId="5" borderId="10" xfId="0" applyFont="1" applyFill="1" applyBorder="1" applyAlignment="1" applyProtection="1">
      <alignment horizontal="left" vertical="center" wrapText="1" indent="2"/>
      <protection hidden="1"/>
    </xf>
    <xf numFmtId="0" fontId="7" fillId="5" borderId="63" xfId="0" applyFont="1" applyFill="1" applyBorder="1" applyAlignment="1" applyProtection="1">
      <alignment horizontal="left" vertical="center" wrapText="1" indent="1"/>
      <protection hidden="1"/>
    </xf>
    <xf numFmtId="176" fontId="7" fillId="5" borderId="49" xfId="0" applyNumberFormat="1" applyFont="1" applyFill="1" applyBorder="1" applyAlignment="1" applyProtection="1">
      <alignment vertical="center"/>
      <protection hidden="1"/>
    </xf>
    <xf numFmtId="0" fontId="6" fillId="5" borderId="64" xfId="0" applyFont="1" applyFill="1" applyBorder="1" applyAlignment="1" applyProtection="1">
      <protection hidden="1"/>
    </xf>
    <xf numFmtId="0" fontId="19" fillId="5" borderId="24" xfId="0" applyFont="1" applyFill="1" applyBorder="1" applyAlignment="1" applyProtection="1">
      <alignment horizontal="left" vertical="center" wrapText="1" indent="2"/>
      <protection hidden="1"/>
    </xf>
    <xf numFmtId="172" fontId="7" fillId="5" borderId="41" xfId="0" applyNumberFormat="1" applyFont="1" applyFill="1" applyBorder="1" applyAlignment="1" applyProtection="1">
      <alignment horizontal="center" vertical="top" wrapText="1"/>
      <protection hidden="1"/>
    </xf>
    <xf numFmtId="0" fontId="6" fillId="5" borderId="6" xfId="0" applyFont="1" applyFill="1" applyBorder="1" applyAlignment="1" applyProtection="1">
      <alignment horizontal="left"/>
      <protection hidden="1"/>
    </xf>
    <xf numFmtId="0" fontId="6" fillId="5" borderId="27" xfId="0" applyFont="1" applyFill="1" applyBorder="1" applyAlignment="1" applyProtection="1">
      <alignment horizontal="left" wrapText="1" indent="2"/>
      <protection hidden="1"/>
    </xf>
    <xf numFmtId="165" fontId="19" fillId="5" borderId="6" xfId="0" applyNumberFormat="1" applyFont="1" applyFill="1" applyBorder="1" applyAlignment="1" applyProtection="1">
      <alignment horizontal="left" vertical="center" indent="1"/>
      <protection hidden="1"/>
    </xf>
    <xf numFmtId="175" fontId="7" fillId="5" borderId="7" xfId="0" applyNumberFormat="1" applyFont="1" applyFill="1" applyBorder="1" applyAlignment="1" applyProtection="1">
      <alignment vertical="center"/>
      <protection hidden="1"/>
    </xf>
    <xf numFmtId="176" fontId="7" fillId="5" borderId="7" xfId="0" applyNumberFormat="1" applyFont="1" applyFill="1" applyBorder="1" applyAlignment="1" applyProtection="1">
      <alignment vertical="center"/>
      <protection hidden="1"/>
    </xf>
    <xf numFmtId="0" fontId="23" fillId="5" borderId="6" xfId="0" applyFont="1" applyFill="1" applyBorder="1" applyAlignment="1" applyProtection="1">
      <alignment horizontal="left" vertical="center" indent="2"/>
      <protection hidden="1"/>
    </xf>
    <xf numFmtId="175" fontId="7" fillId="5" borderId="5" xfId="0" applyNumberFormat="1" applyFont="1" applyFill="1" applyBorder="1" applyAlignment="1" applyProtection="1">
      <alignment vertical="center"/>
      <protection hidden="1"/>
    </xf>
    <xf numFmtId="0" fontId="7" fillId="5" borderId="6" xfId="0" applyFont="1" applyFill="1" applyBorder="1" applyAlignment="1" applyProtection="1">
      <alignment horizontal="left" vertical="center" indent="3"/>
      <protection hidden="1"/>
    </xf>
    <xf numFmtId="176" fontId="7" fillId="5" borderId="31" xfId="0" applyNumberFormat="1" applyFont="1" applyFill="1" applyBorder="1" applyAlignment="1" applyProtection="1">
      <alignment vertical="center"/>
      <protection hidden="1"/>
    </xf>
    <xf numFmtId="172" fontId="7" fillId="5" borderId="33" xfId="0" applyNumberFormat="1" applyFont="1" applyFill="1" applyBorder="1" applyAlignment="1" applyProtection="1">
      <alignment horizontal="center" vertical="center"/>
      <protection hidden="1"/>
    </xf>
    <xf numFmtId="0" fontId="6" fillId="5" borderId="40" xfId="0" applyFont="1" applyFill="1" applyBorder="1" applyProtection="1">
      <protection hidden="1"/>
    </xf>
    <xf numFmtId="0" fontId="18" fillId="5" borderId="31" xfId="0" applyFont="1" applyFill="1" applyBorder="1" applyAlignment="1" applyProtection="1">
      <protection hidden="1"/>
    </xf>
    <xf numFmtId="0" fontId="18" fillId="5" borderId="33" xfId="0" applyFont="1" applyFill="1" applyBorder="1" applyAlignment="1" applyProtection="1">
      <protection hidden="1"/>
    </xf>
    <xf numFmtId="0" fontId="23" fillId="5" borderId="6" xfId="0" applyFont="1" applyFill="1" applyBorder="1" applyAlignment="1" applyProtection="1">
      <alignment horizontal="left" vertical="center" wrapText="1" indent="2"/>
      <protection hidden="1"/>
    </xf>
    <xf numFmtId="0" fontId="6" fillId="5" borderId="31" xfId="0" applyFont="1" applyFill="1" applyBorder="1" applyAlignment="1" applyProtection="1">
      <alignment vertical="center"/>
      <protection hidden="1"/>
    </xf>
    <xf numFmtId="0" fontId="6" fillId="5" borderId="33" xfId="0" applyFont="1" applyFill="1" applyBorder="1" applyAlignment="1" applyProtection="1">
      <alignment vertical="center"/>
      <protection hidden="1"/>
    </xf>
    <xf numFmtId="180" fontId="6" fillId="5" borderId="70" xfId="0" applyNumberFormat="1" applyFont="1" applyFill="1" applyBorder="1" applyAlignment="1" applyProtection="1">
      <alignment vertical="center"/>
      <protection hidden="1"/>
    </xf>
    <xf numFmtId="0" fontId="6" fillId="5" borderId="5" xfId="0" applyFont="1" applyFill="1" applyBorder="1" applyAlignment="1" applyProtection="1">
      <alignment vertical="center"/>
      <protection hidden="1"/>
    </xf>
    <xf numFmtId="0" fontId="6" fillId="5" borderId="4" xfId="0" applyFont="1" applyFill="1" applyBorder="1" applyAlignment="1" applyProtection="1">
      <alignment vertical="center"/>
      <protection hidden="1"/>
    </xf>
    <xf numFmtId="0" fontId="7" fillId="5" borderId="6" xfId="0" applyFont="1" applyFill="1" applyBorder="1" applyAlignment="1" applyProtection="1">
      <alignment horizontal="left" vertical="center" wrapText="1" indent="3"/>
      <protection hidden="1"/>
    </xf>
    <xf numFmtId="165" fontId="19" fillId="5" borderId="72" xfId="0" applyNumberFormat="1" applyFont="1" applyFill="1" applyBorder="1" applyAlignment="1" applyProtection="1">
      <alignment horizontal="left" vertical="center" indent="1"/>
      <protection hidden="1"/>
    </xf>
    <xf numFmtId="0" fontId="7" fillId="5" borderId="15" xfId="0" applyFont="1" applyFill="1" applyBorder="1" applyAlignment="1" applyProtection="1">
      <alignment horizontal="left" vertical="center" indent="2"/>
      <protection hidden="1"/>
    </xf>
    <xf numFmtId="172" fontId="7" fillId="5" borderId="51" xfId="0" applyNumberFormat="1" applyFont="1" applyFill="1" applyBorder="1" applyAlignment="1" applyProtection="1">
      <alignment horizontal="center" vertical="center"/>
      <protection hidden="1"/>
    </xf>
    <xf numFmtId="0" fontId="7" fillId="0" borderId="0" xfId="0" applyFont="1" applyFill="1" applyProtection="1">
      <protection hidden="1"/>
    </xf>
    <xf numFmtId="172" fontId="6" fillId="0" borderId="0" xfId="0" applyNumberFormat="1" applyFont="1" applyFill="1" applyProtection="1">
      <protection hidden="1"/>
    </xf>
    <xf numFmtId="166" fontId="6" fillId="0" borderId="0" xfId="0" applyNumberFormat="1" applyFont="1" applyFill="1" applyProtection="1">
      <protection hidden="1"/>
    </xf>
    <xf numFmtId="173" fontId="6" fillId="0" borderId="0" xfId="0" applyNumberFormat="1" applyFont="1" applyFill="1" applyProtection="1">
      <protection hidden="1"/>
    </xf>
    <xf numFmtId="176" fontId="17" fillId="5" borderId="5" xfId="0" applyNumberFormat="1" applyFont="1" applyFill="1" applyBorder="1" applyAlignment="1" applyProtection="1">
      <alignment vertical="center"/>
      <protection hidden="1"/>
    </xf>
    <xf numFmtId="0" fontId="7" fillId="5" borderId="4" xfId="0" applyFont="1" applyFill="1" applyBorder="1" applyAlignment="1" applyProtection="1">
      <alignment horizontal="center" vertical="center"/>
      <protection hidden="1"/>
    </xf>
    <xf numFmtId="172" fontId="5" fillId="5" borderId="7" xfId="0" applyNumberFormat="1" applyFont="1" applyFill="1" applyBorder="1" applyAlignment="1" applyProtection="1">
      <alignment vertical="center"/>
      <protection hidden="1"/>
    </xf>
    <xf numFmtId="175" fontId="7" fillId="5" borderId="69" xfId="0" applyNumberFormat="1" applyFont="1" applyFill="1" applyBorder="1" applyAlignment="1" applyProtection="1">
      <alignment vertical="center"/>
      <protection hidden="1"/>
    </xf>
    <xf numFmtId="175" fontId="7" fillId="5" borderId="76" xfId="0" applyNumberFormat="1" applyFont="1" applyFill="1" applyBorder="1" applyAlignment="1" applyProtection="1">
      <alignment vertical="center"/>
      <protection hidden="1"/>
    </xf>
    <xf numFmtId="175" fontId="17" fillId="5" borderId="69" xfId="0" applyNumberFormat="1" applyFont="1" applyFill="1" applyBorder="1" applyAlignment="1" applyProtection="1">
      <alignment vertical="center"/>
      <protection hidden="1"/>
    </xf>
    <xf numFmtId="175" fontId="7" fillId="5" borderId="70" xfId="0" applyNumberFormat="1" applyFont="1" applyFill="1" applyBorder="1" applyAlignment="1" applyProtection="1">
      <alignment vertical="center"/>
      <protection hidden="1"/>
    </xf>
    <xf numFmtId="175" fontId="17" fillId="5" borderId="70" xfId="0" applyNumberFormat="1" applyFont="1" applyFill="1" applyBorder="1" applyAlignment="1" applyProtection="1">
      <alignment vertical="center"/>
      <protection hidden="1"/>
    </xf>
    <xf numFmtId="164" fontId="7" fillId="9" borderId="34" xfId="0" applyNumberFormat="1" applyFont="1" applyFill="1" applyBorder="1" applyAlignment="1" applyProtection="1">
      <alignment horizontal="left" vertical="center" indent="2"/>
      <protection hidden="1"/>
    </xf>
    <xf numFmtId="175" fontId="17" fillId="5" borderId="5" xfId="0" applyNumberFormat="1" applyFont="1" applyFill="1" applyBorder="1" applyAlignment="1" applyProtection="1">
      <alignment vertical="center"/>
      <protection hidden="1"/>
    </xf>
    <xf numFmtId="0" fontId="7" fillId="9" borderId="10" xfId="0" applyNumberFormat="1" applyFont="1" applyFill="1" applyBorder="1" applyAlignment="1" applyProtection="1">
      <alignment vertical="center"/>
      <protection hidden="1"/>
    </xf>
    <xf numFmtId="175" fontId="7" fillId="5" borderId="71" xfId="0" applyNumberFormat="1" applyFont="1" applyFill="1" applyBorder="1" applyAlignment="1" applyProtection="1">
      <alignment vertical="center"/>
      <protection hidden="1"/>
    </xf>
    <xf numFmtId="175" fontId="7" fillId="5" borderId="49" xfId="0" applyNumberFormat="1" applyFont="1" applyFill="1" applyBorder="1" applyAlignment="1" applyProtection="1">
      <alignment vertical="center"/>
      <protection hidden="1"/>
    </xf>
    <xf numFmtId="175" fontId="17" fillId="5" borderId="49" xfId="0" applyNumberFormat="1" applyFont="1" applyFill="1" applyBorder="1" applyAlignment="1" applyProtection="1">
      <alignment vertical="center"/>
      <protection hidden="1"/>
    </xf>
    <xf numFmtId="0" fontId="6" fillId="5" borderId="61" xfId="0" applyNumberFormat="1" applyFont="1" applyFill="1" applyBorder="1" applyAlignment="1" applyProtection="1">
      <alignment vertical="center"/>
      <protection hidden="1"/>
    </xf>
    <xf numFmtId="0" fontId="6" fillId="5" borderId="62" xfId="0" applyFont="1" applyFill="1" applyBorder="1" applyProtection="1">
      <protection hidden="1"/>
    </xf>
    <xf numFmtId="175" fontId="7" fillId="5" borderId="28" xfId="0" applyNumberFormat="1" applyFont="1" applyFill="1" applyBorder="1" applyAlignment="1" applyProtection="1">
      <alignment vertical="center"/>
      <protection hidden="1"/>
    </xf>
    <xf numFmtId="176" fontId="7" fillId="5" borderId="28" xfId="0" applyNumberFormat="1" applyFont="1" applyFill="1" applyBorder="1" applyAlignment="1" applyProtection="1">
      <alignment vertical="center"/>
      <protection hidden="1"/>
    </xf>
    <xf numFmtId="172" fontId="7" fillId="5" borderId="29" xfId="0" applyNumberFormat="1" applyFont="1" applyFill="1" applyBorder="1" applyAlignment="1" applyProtection="1">
      <alignment horizontal="center" vertical="center"/>
      <protection hidden="1"/>
    </xf>
    <xf numFmtId="175" fontId="7" fillId="5" borderId="31" xfId="0" applyNumberFormat="1" applyFont="1" applyFill="1" applyBorder="1" applyAlignment="1" applyProtection="1">
      <alignment vertical="center"/>
      <protection hidden="1"/>
    </xf>
    <xf numFmtId="0" fontId="15" fillId="5" borderId="2" xfId="0" applyFont="1" applyFill="1" applyBorder="1" applyAlignment="1" applyProtection="1">
      <alignment horizontal="center" vertical="center"/>
      <protection hidden="1"/>
    </xf>
    <xf numFmtId="0" fontId="6" fillId="4" borderId="1" xfId="0" applyFont="1" applyFill="1" applyBorder="1" applyAlignment="1" applyProtection="1">
      <alignment vertical="center"/>
      <protection hidden="1"/>
    </xf>
    <xf numFmtId="0" fontId="6" fillId="9" borderId="23" xfId="0" applyFont="1" applyFill="1" applyBorder="1" applyAlignment="1" applyProtection="1">
      <alignment horizontal="center" vertical="center"/>
      <protection hidden="1"/>
    </xf>
    <xf numFmtId="0" fontId="6" fillId="9" borderId="51" xfId="0" applyFont="1" applyFill="1" applyBorder="1" applyAlignment="1" applyProtection="1">
      <alignment horizontal="center" vertical="center"/>
      <protection hidden="1"/>
    </xf>
    <xf numFmtId="0" fontId="6" fillId="3" borderId="0" xfId="0" applyFont="1" applyFill="1" applyBorder="1" applyAlignment="1" applyProtection="1">
      <alignment horizontal="centerContinuous" vertical="center"/>
      <protection hidden="1"/>
    </xf>
    <xf numFmtId="0" fontId="7" fillId="9" borderId="2" xfId="0" applyFont="1" applyFill="1" applyBorder="1" applyAlignment="1" applyProtection="1">
      <alignment vertical="top" wrapText="1"/>
      <protection hidden="1"/>
    </xf>
    <xf numFmtId="0" fontId="6" fillId="5" borderId="3" xfId="0" applyNumberFormat="1" applyFont="1" applyFill="1" applyBorder="1" applyAlignment="1" applyProtection="1">
      <protection hidden="1"/>
    </xf>
    <xf numFmtId="0" fontId="6" fillId="5" borderId="65" xfId="0" applyNumberFormat="1" applyFont="1" applyFill="1" applyBorder="1" applyAlignment="1" applyProtection="1">
      <protection hidden="1"/>
    </xf>
    <xf numFmtId="0" fontId="6" fillId="5" borderId="45" xfId="0" applyNumberFormat="1" applyFont="1" applyFill="1" applyBorder="1" applyAlignment="1" applyProtection="1">
      <protection hidden="1"/>
    </xf>
    <xf numFmtId="0" fontId="6" fillId="2" borderId="31" xfId="0" applyFont="1" applyFill="1" applyBorder="1" applyAlignment="1" applyProtection="1">
      <protection hidden="1"/>
    </xf>
    <xf numFmtId="2" fontId="6" fillId="2" borderId="31" xfId="0" applyNumberFormat="1" applyFont="1" applyFill="1" applyBorder="1" applyAlignment="1" applyProtection="1">
      <protection hidden="1"/>
    </xf>
    <xf numFmtId="2" fontId="6" fillId="2" borderId="35" xfId="0" applyNumberFormat="1" applyFont="1" applyFill="1" applyBorder="1" applyAlignment="1" applyProtection="1">
      <protection hidden="1"/>
    </xf>
    <xf numFmtId="179" fontId="6" fillId="2" borderId="31" xfId="0" applyNumberFormat="1" applyFont="1" applyFill="1" applyBorder="1" applyAlignment="1" applyProtection="1">
      <alignment vertical="center"/>
      <protection hidden="1"/>
    </xf>
    <xf numFmtId="0" fontId="6" fillId="2" borderId="3" xfId="0" applyFont="1" applyFill="1" applyBorder="1" applyAlignment="1" applyProtection="1">
      <alignment horizontal="center"/>
      <protection hidden="1"/>
    </xf>
    <xf numFmtId="0" fontId="6" fillId="2" borderId="5" xfId="0" applyFont="1" applyFill="1" applyBorder="1" applyAlignment="1" applyProtection="1">
      <alignment horizontal="center"/>
      <protection hidden="1"/>
    </xf>
    <xf numFmtId="2" fontId="6" fillId="2" borderId="5" xfId="0" applyNumberFormat="1" applyFont="1" applyFill="1" applyBorder="1" applyAlignment="1" applyProtection="1">
      <alignment horizontal="center"/>
      <protection hidden="1"/>
    </xf>
    <xf numFmtId="2" fontId="6" fillId="2" borderId="45" xfId="0" applyNumberFormat="1" applyFont="1" applyFill="1" applyBorder="1" applyAlignment="1" applyProtection="1">
      <alignment horizontal="center"/>
      <protection hidden="1"/>
    </xf>
    <xf numFmtId="0" fontId="6" fillId="2" borderId="36" xfId="0" applyFont="1" applyFill="1" applyBorder="1" applyAlignment="1" applyProtection="1">
      <alignment horizontal="center"/>
      <protection hidden="1"/>
    </xf>
    <xf numFmtId="0" fontId="6" fillId="2" borderId="28" xfId="0" applyFont="1" applyFill="1" applyBorder="1" applyAlignment="1" applyProtection="1">
      <alignment horizontal="center"/>
      <protection hidden="1"/>
    </xf>
    <xf numFmtId="2" fontId="6" fillId="2" borderId="28" xfId="0" applyNumberFormat="1" applyFont="1" applyFill="1" applyBorder="1" applyAlignment="1" applyProtection="1">
      <alignment horizontal="center"/>
      <protection hidden="1"/>
    </xf>
    <xf numFmtId="2" fontId="6" fillId="2" borderId="37" xfId="0" applyNumberFormat="1" applyFont="1" applyFill="1" applyBorder="1" applyAlignment="1" applyProtection="1">
      <alignment horizontal="center"/>
      <protection hidden="1"/>
    </xf>
    <xf numFmtId="179" fontId="6" fillId="2" borderId="7" xfId="0" applyNumberFormat="1" applyFont="1" applyFill="1" applyBorder="1" applyAlignment="1" applyProtection="1">
      <protection hidden="1"/>
    </xf>
    <xf numFmtId="186" fontId="6" fillId="2" borderId="31" xfId="0" applyNumberFormat="1" applyFont="1" applyFill="1" applyBorder="1" applyAlignment="1" applyProtection="1">
      <alignment vertical="center"/>
      <protection hidden="1"/>
    </xf>
    <xf numFmtId="186" fontId="6" fillId="3" borderId="49" xfId="0" applyNumberFormat="1" applyFont="1" applyFill="1" applyBorder="1" applyAlignment="1" applyProtection="1">
      <alignment vertical="center"/>
      <protection hidden="1"/>
    </xf>
    <xf numFmtId="0" fontId="6" fillId="5" borderId="0" xfId="9" applyFont="1" applyFill="1" applyProtection="1">
      <protection hidden="1"/>
    </xf>
    <xf numFmtId="0" fontId="6" fillId="5" borderId="0" xfId="9" applyFont="1" applyFill="1" applyAlignment="1" applyProtection="1">
      <alignment horizontal="center"/>
      <protection hidden="1"/>
    </xf>
    <xf numFmtId="0" fontId="7" fillId="3" borderId="65" xfId="9" applyFont="1" applyFill="1" applyBorder="1" applyAlignment="1" applyProtection="1">
      <alignment horizontal="left" vertical="center"/>
      <protection hidden="1"/>
    </xf>
    <xf numFmtId="0" fontId="7" fillId="3" borderId="65" xfId="9" applyFont="1" applyFill="1" applyBorder="1" applyAlignment="1" applyProtection="1">
      <alignment vertical="center"/>
      <protection hidden="1"/>
    </xf>
    <xf numFmtId="0" fontId="6" fillId="3" borderId="65" xfId="9" applyFont="1" applyFill="1" applyBorder="1" applyAlignment="1" applyProtection="1">
      <alignment vertical="center"/>
      <protection hidden="1"/>
    </xf>
    <xf numFmtId="0" fontId="7" fillId="3" borderId="65" xfId="9" applyFont="1" applyFill="1" applyBorder="1" applyAlignment="1" applyProtection="1">
      <alignment horizontal="right" vertical="center"/>
      <protection hidden="1"/>
    </xf>
    <xf numFmtId="0" fontId="7" fillId="4" borderId="1" xfId="9" applyFont="1" applyFill="1" applyBorder="1" applyAlignment="1" applyProtection="1">
      <alignment horizontal="right" vertical="top"/>
      <protection hidden="1"/>
    </xf>
    <xf numFmtId="0" fontId="7" fillId="4" borderId="0" xfId="9" applyFont="1" applyFill="1" applyBorder="1" applyAlignment="1" applyProtection="1">
      <alignment horizontal="right" vertical="top"/>
      <protection hidden="1"/>
    </xf>
    <xf numFmtId="0" fontId="6" fillId="2" borderId="0" xfId="9" applyFont="1" applyFill="1" applyAlignment="1" applyProtection="1">
      <alignment vertical="top"/>
      <protection hidden="1"/>
    </xf>
    <xf numFmtId="0" fontId="6" fillId="3" borderId="0" xfId="9" applyFont="1" applyFill="1" applyBorder="1" applyAlignment="1" applyProtection="1">
      <alignment horizontal="left" indent="2"/>
      <protection hidden="1"/>
    </xf>
    <xf numFmtId="0" fontId="6" fillId="3" borderId="0" xfId="9" applyFont="1" applyFill="1" applyBorder="1" applyAlignment="1" applyProtection="1">
      <alignment vertical="top"/>
      <protection hidden="1"/>
    </xf>
    <xf numFmtId="0" fontId="6" fillId="4" borderId="2" xfId="9" applyFont="1" applyFill="1" applyBorder="1" applyAlignment="1" applyProtection="1">
      <alignment vertical="center"/>
      <protection hidden="1"/>
    </xf>
    <xf numFmtId="0" fontId="6" fillId="4" borderId="0" xfId="9" applyFont="1" applyFill="1" applyBorder="1" applyAlignment="1" applyProtection="1">
      <alignment vertical="center"/>
      <protection hidden="1"/>
    </xf>
    <xf numFmtId="0" fontId="6" fillId="2" borderId="0" xfId="9" applyFont="1" applyFill="1" applyProtection="1">
      <protection hidden="1"/>
    </xf>
    <xf numFmtId="0" fontId="6" fillId="4" borderId="2" xfId="9" applyFont="1" applyFill="1" applyBorder="1" applyAlignment="1" applyProtection="1">
      <alignment horizontal="center" vertical="center"/>
      <protection hidden="1"/>
    </xf>
    <xf numFmtId="0" fontId="6" fillId="4" borderId="0" xfId="9" applyFont="1" applyFill="1" applyBorder="1" applyAlignment="1" applyProtection="1">
      <alignment horizontal="center" vertical="center"/>
      <protection hidden="1"/>
    </xf>
    <xf numFmtId="0" fontId="6" fillId="4" borderId="0" xfId="9" applyFont="1" applyFill="1" applyBorder="1" applyProtection="1">
      <protection hidden="1"/>
    </xf>
    <xf numFmtId="0" fontId="6" fillId="3" borderId="0" xfId="9" applyFont="1" applyFill="1" applyBorder="1" applyProtection="1">
      <protection hidden="1"/>
    </xf>
    <xf numFmtId="0" fontId="6" fillId="3" borderId="0" xfId="9" applyFont="1" applyFill="1" applyBorder="1" applyAlignment="1" applyProtection="1">
      <alignment horizontal="center"/>
      <protection hidden="1"/>
    </xf>
    <xf numFmtId="0" fontId="6" fillId="4" borderId="2" xfId="9" applyFont="1" applyFill="1" applyBorder="1" applyProtection="1">
      <protection hidden="1"/>
    </xf>
    <xf numFmtId="0" fontId="6" fillId="9" borderId="0" xfId="9" applyNumberFormat="1" applyFont="1" applyFill="1" applyBorder="1" applyAlignment="1" applyProtection="1">
      <protection hidden="1"/>
    </xf>
    <xf numFmtId="0" fontId="6" fillId="2" borderId="0" xfId="9" applyNumberFormat="1" applyFont="1" applyFill="1" applyBorder="1" applyAlignment="1" applyProtection="1">
      <protection hidden="1"/>
    </xf>
    <xf numFmtId="0" fontId="6" fillId="9" borderId="0" xfId="0" applyNumberFormat="1" applyFont="1" applyFill="1" applyBorder="1" applyAlignment="1" applyProtection="1">
      <protection hidden="1"/>
    </xf>
    <xf numFmtId="0" fontId="6" fillId="2" borderId="0" xfId="0" applyNumberFormat="1" applyFont="1" applyFill="1" applyBorder="1" applyAlignment="1" applyProtection="1">
      <protection hidden="1"/>
    </xf>
    <xf numFmtId="0" fontId="7" fillId="3" borderId="7" xfId="9" applyFont="1" applyFill="1" applyBorder="1" applyAlignment="1" applyProtection="1">
      <alignment horizontal="center" vertical="center"/>
      <protection hidden="1"/>
    </xf>
    <xf numFmtId="0" fontId="7" fillId="3" borderId="11" xfId="9" applyFont="1" applyFill="1" applyBorder="1" applyAlignment="1" applyProtection="1">
      <alignment horizontal="center" vertical="center"/>
      <protection hidden="1"/>
    </xf>
    <xf numFmtId="172" fontId="7" fillId="2" borderId="28" xfId="0" applyNumberFormat="1" applyFont="1" applyFill="1" applyBorder="1" applyAlignment="1" applyProtection="1">
      <alignment horizontal="center" vertical="top"/>
      <protection hidden="1"/>
    </xf>
    <xf numFmtId="172" fontId="7" fillId="2" borderId="42" xfId="0" applyNumberFormat="1" applyFont="1" applyFill="1" applyBorder="1" applyAlignment="1" applyProtection="1">
      <alignment horizontal="center" vertical="top"/>
      <protection hidden="1"/>
    </xf>
    <xf numFmtId="0" fontId="6" fillId="9" borderId="5" xfId="9" applyNumberFormat="1" applyFont="1" applyFill="1" applyBorder="1" applyAlignment="1" applyProtection="1">
      <protection hidden="1"/>
    </xf>
    <xf numFmtId="0" fontId="6" fillId="9" borderId="32" xfId="9" applyNumberFormat="1" applyFont="1" applyFill="1" applyBorder="1" applyAlignment="1" applyProtection="1">
      <protection hidden="1"/>
    </xf>
    <xf numFmtId="0" fontId="6" fillId="9" borderId="31" xfId="9" applyNumberFormat="1" applyFont="1" applyFill="1" applyBorder="1" applyAlignment="1" applyProtection="1">
      <protection hidden="1"/>
    </xf>
    <xf numFmtId="172" fontId="7" fillId="9" borderId="45" xfId="0" applyNumberFormat="1" applyFont="1" applyFill="1" applyBorder="1" applyAlignment="1" applyProtection="1">
      <alignment vertical="center"/>
      <protection hidden="1"/>
    </xf>
    <xf numFmtId="0" fontId="6" fillId="2" borderId="10" xfId="0" applyFont="1" applyFill="1" applyBorder="1" applyAlignment="1" applyProtection="1">
      <alignment horizontal="left" vertical="center" indent="2"/>
      <protection hidden="1"/>
    </xf>
    <xf numFmtId="0" fontId="6" fillId="2" borderId="49" xfId="0" applyFont="1" applyFill="1" applyBorder="1" applyAlignment="1" applyProtection="1">
      <alignment horizontal="center" vertical="center"/>
      <protection hidden="1"/>
    </xf>
    <xf numFmtId="0" fontId="6" fillId="9" borderId="0" xfId="0" quotePrefix="1" applyNumberFormat="1" applyFont="1" applyFill="1" applyBorder="1" applyAlignment="1" applyProtection="1">
      <protection hidden="1"/>
    </xf>
    <xf numFmtId="0" fontId="7" fillId="3" borderId="34" xfId="9" applyFont="1" applyFill="1" applyBorder="1" applyAlignment="1" applyProtection="1">
      <alignment horizontal="left" vertical="center" indent="1"/>
      <protection hidden="1"/>
    </xf>
    <xf numFmtId="0" fontId="6" fillId="9" borderId="82" xfId="9" applyNumberFormat="1" applyFont="1" applyFill="1" applyBorder="1" applyAlignment="1" applyProtection="1">
      <protection hidden="1"/>
    </xf>
    <xf numFmtId="0" fontId="6" fillId="9" borderId="58" xfId="9" applyNumberFormat="1" applyFont="1" applyFill="1" applyBorder="1" applyAlignment="1" applyProtection="1">
      <protection hidden="1"/>
    </xf>
    <xf numFmtId="0" fontId="6" fillId="2" borderId="0" xfId="0" quotePrefix="1" applyNumberFormat="1" applyFont="1" applyFill="1" applyBorder="1" applyAlignment="1" applyProtection="1">
      <protection hidden="1"/>
    </xf>
    <xf numFmtId="0" fontId="6" fillId="2" borderId="0" xfId="0" applyFont="1" applyFill="1" applyBorder="1" applyAlignment="1" applyProtection="1">
      <alignment horizontal="center" vertical="center"/>
      <protection hidden="1"/>
    </xf>
    <xf numFmtId="2" fontId="6" fillId="2" borderId="0" xfId="0" quotePrefix="1" applyNumberFormat="1" applyFont="1" applyFill="1" applyBorder="1" applyAlignment="1" applyProtection="1">
      <alignment horizontal="center" vertical="center"/>
      <protection hidden="1"/>
    </xf>
    <xf numFmtId="2" fontId="6" fillId="2" borderId="0" xfId="0" applyNumberFormat="1" applyFont="1" applyFill="1" applyBorder="1" applyAlignment="1" applyProtection="1">
      <alignment horizontal="center" vertical="center"/>
      <protection hidden="1"/>
    </xf>
    <xf numFmtId="0" fontId="6" fillId="3" borderId="0" xfId="9" applyFont="1" applyFill="1" applyBorder="1" applyAlignment="1" applyProtection="1">
      <protection hidden="1"/>
    </xf>
    <xf numFmtId="0" fontId="6" fillId="4" borderId="2" xfId="9" applyFont="1" applyFill="1" applyBorder="1" applyAlignment="1" applyProtection="1">
      <alignment horizontal="centerContinuous" vertical="center"/>
      <protection hidden="1"/>
    </xf>
    <xf numFmtId="0" fontId="6" fillId="4" borderId="0" xfId="9" applyFont="1" applyFill="1" applyBorder="1" applyAlignment="1" applyProtection="1">
      <alignment horizontal="centerContinuous" vertical="center"/>
      <protection hidden="1"/>
    </xf>
    <xf numFmtId="0" fontId="6" fillId="2" borderId="0" xfId="9" applyFont="1" applyFill="1" applyAlignment="1" applyProtection="1">
      <alignment vertical="center"/>
      <protection hidden="1"/>
    </xf>
    <xf numFmtId="0" fontId="6" fillId="3" borderId="60" xfId="9" applyFont="1" applyFill="1" applyBorder="1" applyAlignment="1" applyProtection="1">
      <alignment horizontal="centerContinuous" vertical="center"/>
      <protection hidden="1"/>
    </xf>
    <xf numFmtId="0" fontId="6" fillId="4" borderId="42" xfId="9" applyFont="1" applyFill="1" applyBorder="1" applyAlignment="1" applyProtection="1">
      <alignment horizontal="centerContinuous" vertical="center"/>
      <protection hidden="1"/>
    </xf>
    <xf numFmtId="0" fontId="7" fillId="2" borderId="0" xfId="0" applyFont="1" applyFill="1" applyBorder="1" applyAlignment="1" applyProtection="1">
      <protection hidden="1"/>
    </xf>
    <xf numFmtId="0" fontId="7" fillId="3" borderId="8" xfId="9" applyFont="1" applyFill="1" applyBorder="1" applyAlignment="1" applyProtection="1">
      <alignment horizontal="center" vertical="center"/>
      <protection hidden="1"/>
    </xf>
    <xf numFmtId="0" fontId="6" fillId="9" borderId="33" xfId="9" applyNumberFormat="1" applyFont="1" applyFill="1" applyBorder="1" applyAlignment="1" applyProtection="1">
      <protection hidden="1"/>
    </xf>
    <xf numFmtId="0" fontId="7" fillId="3" borderId="9" xfId="9" applyFont="1" applyFill="1" applyBorder="1" applyAlignment="1" applyProtection="1">
      <alignment horizontal="center" vertical="center"/>
      <protection hidden="1"/>
    </xf>
    <xf numFmtId="0" fontId="6" fillId="3" borderId="10" xfId="9" applyFont="1" applyFill="1" applyBorder="1" applyProtection="1">
      <protection hidden="1"/>
    </xf>
    <xf numFmtId="172" fontId="7" fillId="2" borderId="7" xfId="0" applyNumberFormat="1" applyFont="1" applyFill="1" applyBorder="1" applyAlignment="1" applyProtection="1">
      <alignment horizontal="center" vertical="top"/>
      <protection hidden="1"/>
    </xf>
    <xf numFmtId="172" fontId="7" fillId="2" borderId="11" xfId="0" applyNumberFormat="1" applyFont="1" applyFill="1" applyBorder="1" applyAlignment="1" applyProtection="1">
      <alignment horizontal="center" vertical="top"/>
      <protection hidden="1"/>
    </xf>
    <xf numFmtId="0" fontId="7" fillId="3" borderId="10" xfId="9" applyFont="1" applyFill="1" applyBorder="1" applyAlignment="1" applyProtection="1">
      <alignment horizontal="left" vertical="center" indent="1"/>
      <protection hidden="1"/>
    </xf>
    <xf numFmtId="180" fontId="7" fillId="9" borderId="1" xfId="9" applyNumberFormat="1" applyFont="1" applyFill="1" applyBorder="1" applyAlignment="1" applyProtection="1">
      <alignment vertical="center"/>
      <protection hidden="1"/>
    </xf>
    <xf numFmtId="180" fontId="7" fillId="9" borderId="5" xfId="9" applyNumberFormat="1" applyFont="1" applyFill="1" applyBorder="1" applyAlignment="1" applyProtection="1">
      <alignment vertical="center"/>
      <protection hidden="1"/>
    </xf>
    <xf numFmtId="180" fontId="7" fillId="9" borderId="31" xfId="9" applyNumberFormat="1" applyFont="1" applyFill="1" applyBorder="1" applyAlignment="1" applyProtection="1">
      <alignment vertical="center"/>
      <protection hidden="1"/>
    </xf>
    <xf numFmtId="180" fontId="7" fillId="9" borderId="32" xfId="9" applyNumberFormat="1" applyFont="1" applyFill="1" applyBorder="1" applyAlignment="1" applyProtection="1">
      <alignment vertical="center"/>
      <protection hidden="1"/>
    </xf>
    <xf numFmtId="180" fontId="7" fillId="9" borderId="33" xfId="9" applyNumberFormat="1" applyFont="1" applyFill="1" applyBorder="1" applyAlignment="1" applyProtection="1">
      <alignment vertical="center"/>
      <protection hidden="1"/>
    </xf>
    <xf numFmtId="180" fontId="7" fillId="3" borderId="93" xfId="9" applyNumberFormat="1" applyFont="1" applyFill="1" applyBorder="1" applyAlignment="1" applyProtection="1">
      <alignment vertical="center"/>
      <protection hidden="1"/>
    </xf>
    <xf numFmtId="0" fontId="6" fillId="3" borderId="36" xfId="9" applyFont="1" applyFill="1" applyBorder="1" applyProtection="1">
      <protection hidden="1"/>
    </xf>
    <xf numFmtId="172" fontId="7" fillId="2" borderId="11" xfId="0" applyNumberFormat="1" applyFont="1" applyFill="1" applyBorder="1" applyAlignment="1" applyProtection="1">
      <alignment horizontal="center" vertical="center"/>
      <protection hidden="1"/>
    </xf>
    <xf numFmtId="0" fontId="7" fillId="3" borderId="8" xfId="9" applyFont="1" applyFill="1" applyBorder="1" applyAlignment="1" applyProtection="1">
      <alignment horizontal="center" vertical="top" wrapText="1"/>
      <protection hidden="1"/>
    </xf>
    <xf numFmtId="180" fontId="7" fillId="9" borderId="4" xfId="9" applyNumberFormat="1" applyFont="1" applyFill="1" applyBorder="1" applyAlignment="1" applyProtection="1">
      <alignment vertical="center"/>
      <protection hidden="1"/>
    </xf>
    <xf numFmtId="180" fontId="7" fillId="9" borderId="35" xfId="9" applyNumberFormat="1" applyFont="1" applyFill="1" applyBorder="1" applyAlignment="1" applyProtection="1">
      <alignment vertical="center"/>
      <protection hidden="1"/>
    </xf>
    <xf numFmtId="0" fontId="6" fillId="3" borderId="93" xfId="9" applyNumberFormat="1" applyFont="1" applyFill="1" applyBorder="1" applyAlignment="1" applyProtection="1">
      <protection hidden="1"/>
    </xf>
    <xf numFmtId="0" fontId="7" fillId="3" borderId="9" xfId="9" applyFont="1" applyFill="1" applyBorder="1" applyAlignment="1" applyProtection="1">
      <alignment horizontal="center" vertical="top" wrapText="1"/>
      <protection hidden="1"/>
    </xf>
    <xf numFmtId="0" fontId="7" fillId="3" borderId="0" xfId="9" applyFont="1" applyFill="1" applyBorder="1" applyAlignment="1" applyProtection="1">
      <alignment horizontal="center" vertical="top" wrapText="1"/>
      <protection hidden="1"/>
    </xf>
    <xf numFmtId="180" fontId="7" fillId="3" borderId="96" xfId="9" applyNumberFormat="1" applyFont="1" applyFill="1" applyBorder="1" applyAlignment="1" applyProtection="1">
      <alignment vertical="center"/>
      <protection hidden="1"/>
    </xf>
    <xf numFmtId="180" fontId="7" fillId="9" borderId="40" xfId="9" applyNumberFormat="1" applyFont="1" applyFill="1" applyBorder="1" applyAlignment="1" applyProtection="1">
      <alignment vertical="center"/>
      <protection hidden="1"/>
    </xf>
    <xf numFmtId="0" fontId="6" fillId="9" borderId="40" xfId="9" applyNumberFormat="1" applyFont="1" applyFill="1" applyBorder="1" applyAlignment="1" applyProtection="1">
      <protection hidden="1"/>
    </xf>
    <xf numFmtId="180" fontId="7" fillId="9" borderId="44" xfId="9" applyNumberFormat="1" applyFont="1" applyFill="1" applyBorder="1" applyAlignment="1" applyProtection="1">
      <alignment vertical="center"/>
      <protection hidden="1"/>
    </xf>
    <xf numFmtId="0" fontId="7" fillId="3" borderId="6" xfId="9" applyFont="1" applyFill="1" applyBorder="1" applyAlignment="1" applyProtection="1">
      <alignment horizontal="center" vertical="center"/>
      <protection hidden="1"/>
    </xf>
    <xf numFmtId="0" fontId="7" fillId="3" borderId="12" xfId="9" applyFont="1" applyFill="1" applyBorder="1" applyAlignment="1" applyProtection="1">
      <alignment horizontal="center" vertical="center"/>
      <protection hidden="1"/>
    </xf>
    <xf numFmtId="172" fontId="7" fillId="2" borderId="6" xfId="0" applyNumberFormat="1" applyFont="1" applyFill="1" applyBorder="1" applyAlignment="1" applyProtection="1">
      <alignment horizontal="center" vertical="top"/>
      <protection hidden="1"/>
    </xf>
    <xf numFmtId="172" fontId="7" fillId="2" borderId="12" xfId="0" applyNumberFormat="1" applyFont="1" applyFill="1" applyBorder="1" applyAlignment="1" applyProtection="1">
      <alignment horizontal="center" vertical="top"/>
      <protection hidden="1"/>
    </xf>
    <xf numFmtId="172" fontId="7" fillId="2" borderId="27" xfId="0" applyNumberFormat="1" applyFont="1" applyFill="1" applyBorder="1" applyAlignment="1" applyProtection="1">
      <alignment horizontal="center" vertical="top"/>
      <protection hidden="1"/>
    </xf>
    <xf numFmtId="172" fontId="7" fillId="2" borderId="38" xfId="0" applyNumberFormat="1" applyFont="1" applyFill="1" applyBorder="1" applyAlignment="1" applyProtection="1">
      <alignment horizontal="center" vertical="top"/>
      <protection hidden="1"/>
    </xf>
    <xf numFmtId="180" fontId="7" fillId="9" borderId="39" xfId="9" applyNumberFormat="1" applyFont="1" applyFill="1" applyBorder="1" applyAlignment="1" applyProtection="1">
      <alignment vertical="center"/>
      <protection hidden="1"/>
    </xf>
    <xf numFmtId="180" fontId="7" fillId="9" borderId="43" xfId="9" applyNumberFormat="1" applyFont="1" applyFill="1" applyBorder="1" applyAlignment="1" applyProtection="1">
      <alignment vertical="center"/>
      <protection hidden="1"/>
    </xf>
    <xf numFmtId="0" fontId="6" fillId="9" borderId="30" xfId="9" applyNumberFormat="1" applyFont="1" applyFill="1" applyBorder="1" applyAlignment="1" applyProtection="1">
      <protection hidden="1"/>
    </xf>
    <xf numFmtId="0" fontId="6" fillId="9" borderId="43" xfId="9" applyNumberFormat="1" applyFont="1" applyFill="1" applyBorder="1" applyAlignment="1" applyProtection="1">
      <protection hidden="1"/>
    </xf>
    <xf numFmtId="180" fontId="7" fillId="9" borderId="72" xfId="9" applyNumberFormat="1" applyFont="1" applyFill="1" applyBorder="1" applyAlignment="1" applyProtection="1">
      <alignment vertical="center"/>
      <protection hidden="1"/>
    </xf>
    <xf numFmtId="180" fontId="7" fillId="9" borderId="97" xfId="9" applyNumberFormat="1" applyFont="1" applyFill="1" applyBorder="1" applyAlignment="1" applyProtection="1">
      <alignment vertical="center"/>
      <protection hidden="1"/>
    </xf>
    <xf numFmtId="0" fontId="7" fillId="3" borderId="6" xfId="9" applyFont="1" applyFill="1" applyBorder="1" applyAlignment="1" applyProtection="1">
      <alignment horizontal="center" vertical="top"/>
      <protection hidden="1"/>
    </xf>
    <xf numFmtId="0" fontId="7" fillId="3" borderId="7" xfId="9" applyFont="1" applyFill="1" applyBorder="1" applyAlignment="1" applyProtection="1">
      <alignment horizontal="center" vertical="top"/>
      <protection hidden="1"/>
    </xf>
    <xf numFmtId="0" fontId="7" fillId="3" borderId="12" xfId="9" applyFont="1" applyFill="1" applyBorder="1" applyAlignment="1" applyProtection="1">
      <alignment horizontal="center" vertical="top" wrapText="1"/>
      <protection hidden="1"/>
    </xf>
    <xf numFmtId="0" fontId="7" fillId="3" borderId="0" xfId="9" applyFont="1" applyFill="1" applyBorder="1" applyAlignment="1" applyProtection="1">
      <alignment horizontal="center" vertical="center"/>
      <protection hidden="1"/>
    </xf>
    <xf numFmtId="172" fontId="7" fillId="2" borderId="0" xfId="0" applyNumberFormat="1" applyFont="1" applyFill="1" applyBorder="1" applyAlignment="1" applyProtection="1">
      <alignment horizontal="center" vertical="top"/>
      <protection hidden="1"/>
    </xf>
    <xf numFmtId="180" fontId="7" fillId="9" borderId="65" xfId="9" applyNumberFormat="1" applyFont="1" applyFill="1" applyBorder="1" applyAlignment="1" applyProtection="1">
      <alignment vertical="center"/>
      <protection hidden="1"/>
    </xf>
    <xf numFmtId="0" fontId="6" fillId="9" borderId="65" xfId="9" applyNumberFormat="1" applyFont="1" applyFill="1" applyBorder="1" applyAlignment="1" applyProtection="1">
      <protection hidden="1"/>
    </xf>
    <xf numFmtId="0" fontId="6" fillId="3" borderId="12" xfId="9" applyFont="1" applyFill="1" applyBorder="1" applyAlignment="1" applyProtection="1">
      <protection hidden="1"/>
    </xf>
    <xf numFmtId="0" fontId="7" fillId="3" borderId="12" xfId="9" applyFont="1" applyFill="1" applyBorder="1" applyAlignment="1" applyProtection="1">
      <alignment horizontal="left" vertical="center" indent="1"/>
      <protection hidden="1"/>
    </xf>
    <xf numFmtId="0" fontId="6" fillId="3" borderId="12" xfId="9" applyFont="1" applyFill="1" applyBorder="1" applyProtection="1">
      <protection hidden="1"/>
    </xf>
    <xf numFmtId="0" fontId="6" fillId="2" borderId="12" xfId="0" applyFont="1" applyFill="1" applyBorder="1" applyAlignment="1" applyProtection="1">
      <alignment horizontal="left" vertical="center" indent="2"/>
      <protection hidden="1"/>
    </xf>
    <xf numFmtId="0" fontId="7" fillId="2" borderId="12" xfId="0" applyFont="1" applyFill="1" applyBorder="1" applyAlignment="1" applyProtection="1">
      <alignment horizontal="left" vertical="center" indent="2"/>
      <protection hidden="1"/>
    </xf>
    <xf numFmtId="0" fontId="7" fillId="2" borderId="97" xfId="0" applyFont="1" applyFill="1" applyBorder="1" applyAlignment="1" applyProtection="1">
      <alignment horizontal="left" vertical="center" indent="1"/>
      <protection hidden="1"/>
    </xf>
    <xf numFmtId="0" fontId="7" fillId="2" borderId="38" xfId="0" applyFont="1" applyFill="1" applyBorder="1" applyAlignment="1" applyProtection="1">
      <alignment horizontal="left" vertical="center" indent="2"/>
      <protection hidden="1"/>
    </xf>
    <xf numFmtId="0" fontId="7" fillId="3" borderId="18" xfId="9" applyFont="1" applyFill="1" applyBorder="1" applyAlignment="1" applyProtection="1">
      <alignment horizontal="left" vertical="center" indent="1"/>
      <protection hidden="1"/>
    </xf>
    <xf numFmtId="0" fontId="7" fillId="3" borderId="11" xfId="9" applyFont="1" applyFill="1" applyBorder="1" applyAlignment="1" applyProtection="1">
      <alignment horizontal="center" vertical="center" wrapText="1"/>
      <protection hidden="1"/>
    </xf>
    <xf numFmtId="0" fontId="6" fillId="3" borderId="18" xfId="9" applyFont="1" applyFill="1" applyBorder="1" applyProtection="1">
      <protection hidden="1"/>
    </xf>
    <xf numFmtId="0" fontId="6" fillId="3" borderId="10" xfId="9" applyFont="1" applyFill="1" applyBorder="1" applyAlignment="1" applyProtection="1">
      <protection hidden="1"/>
    </xf>
    <xf numFmtId="0" fontId="7" fillId="2" borderId="36" xfId="0" applyFont="1" applyFill="1" applyBorder="1" applyAlignment="1" applyProtection="1">
      <alignment horizontal="left" vertical="center" indent="2"/>
      <protection hidden="1"/>
    </xf>
    <xf numFmtId="0" fontId="6" fillId="2" borderId="39" xfId="0" applyFont="1" applyFill="1" applyBorder="1" applyAlignment="1" applyProtection="1">
      <alignment horizontal="left" vertical="center" indent="1"/>
      <protection hidden="1"/>
    </xf>
    <xf numFmtId="0" fontId="7" fillId="3" borderId="10" xfId="9" applyFont="1" applyFill="1" applyBorder="1" applyAlignment="1" applyProtection="1">
      <alignment horizontal="center" vertical="center"/>
      <protection hidden="1"/>
    </xf>
    <xf numFmtId="172" fontId="7" fillId="2" borderId="10" xfId="0" applyNumberFormat="1" applyFont="1" applyFill="1" applyBorder="1" applyAlignment="1" applyProtection="1">
      <alignment horizontal="center" vertical="top"/>
      <protection hidden="1"/>
    </xf>
    <xf numFmtId="180" fontId="7" fillId="9" borderId="3" xfId="9" applyNumberFormat="1" applyFont="1" applyFill="1" applyBorder="1" applyAlignment="1" applyProtection="1">
      <alignment vertical="center"/>
      <protection hidden="1"/>
    </xf>
    <xf numFmtId="0" fontId="7" fillId="3" borderId="10" xfId="9" applyFont="1" applyFill="1" applyBorder="1" applyAlignment="1" applyProtection="1">
      <alignment horizontal="center" vertical="top" wrapText="1"/>
      <protection hidden="1"/>
    </xf>
    <xf numFmtId="180" fontId="7" fillId="3" borderId="98" xfId="9" applyNumberFormat="1" applyFont="1" applyFill="1" applyBorder="1" applyAlignment="1" applyProtection="1">
      <alignment vertical="center"/>
      <protection hidden="1"/>
    </xf>
    <xf numFmtId="180" fontId="7" fillId="3" borderId="35" xfId="9" applyNumberFormat="1" applyFont="1" applyFill="1" applyBorder="1" applyAlignment="1" applyProtection="1">
      <alignment vertical="center"/>
      <protection hidden="1"/>
    </xf>
    <xf numFmtId="180" fontId="7" fillId="9" borderId="45" xfId="9" applyNumberFormat="1" applyFont="1" applyFill="1" applyBorder="1" applyAlignment="1" applyProtection="1">
      <alignment vertical="center"/>
      <protection hidden="1"/>
    </xf>
    <xf numFmtId="180" fontId="7" fillId="2" borderId="43" xfId="9" applyNumberFormat="1" applyFont="1" applyFill="1" applyBorder="1" applyAlignment="1" applyProtection="1">
      <alignment vertical="center"/>
      <protection hidden="1"/>
    </xf>
    <xf numFmtId="180" fontId="7" fillId="2" borderId="99" xfId="9" applyNumberFormat="1" applyFont="1" applyFill="1" applyBorder="1" applyAlignment="1" applyProtection="1">
      <alignment vertical="center"/>
      <protection hidden="1"/>
    </xf>
    <xf numFmtId="180" fontId="7" fillId="9" borderId="100" xfId="9" applyNumberFormat="1" applyFont="1" applyFill="1" applyBorder="1" applyAlignment="1" applyProtection="1">
      <alignment vertical="center"/>
      <protection hidden="1"/>
    </xf>
    <xf numFmtId="180" fontId="7" fillId="9" borderId="95" xfId="9" applyNumberFormat="1" applyFont="1" applyFill="1" applyBorder="1" applyAlignment="1" applyProtection="1">
      <alignment vertical="center"/>
      <protection hidden="1"/>
    </xf>
    <xf numFmtId="180" fontId="7" fillId="9" borderId="94" xfId="9" applyNumberFormat="1" applyFont="1" applyFill="1" applyBorder="1" applyAlignment="1" applyProtection="1">
      <alignment vertical="center"/>
      <protection hidden="1"/>
    </xf>
    <xf numFmtId="180" fontId="6" fillId="0" borderId="65" xfId="9" applyNumberFormat="1" applyFont="1" applyFill="1" applyBorder="1" applyAlignment="1" applyProtection="1">
      <alignment vertical="center"/>
      <protection locked="0"/>
    </xf>
    <xf numFmtId="180" fontId="6" fillId="0" borderId="72" xfId="9" applyNumberFormat="1" applyFont="1" applyFill="1" applyBorder="1" applyAlignment="1" applyProtection="1">
      <alignment vertical="center"/>
      <protection locked="0"/>
    </xf>
    <xf numFmtId="180" fontId="6" fillId="0" borderId="5" xfId="9" applyNumberFormat="1" applyFont="1" applyFill="1" applyBorder="1" applyAlignment="1" applyProtection="1">
      <alignment vertical="center"/>
      <protection locked="0"/>
    </xf>
    <xf numFmtId="180" fontId="6" fillId="0" borderId="1" xfId="9" applyNumberFormat="1" applyFont="1" applyFill="1" applyBorder="1" applyAlignment="1" applyProtection="1">
      <alignment vertical="center"/>
      <protection locked="0"/>
    </xf>
    <xf numFmtId="180" fontId="6" fillId="0" borderId="97" xfId="9" applyNumberFormat="1" applyFont="1" applyFill="1" applyBorder="1" applyAlignment="1" applyProtection="1">
      <alignment vertical="center"/>
      <protection locked="0"/>
    </xf>
    <xf numFmtId="180" fontId="6" fillId="0" borderId="45" xfId="0" applyNumberFormat="1" applyFont="1" applyFill="1" applyBorder="1" applyAlignment="1" applyProtection="1">
      <alignment vertical="center"/>
      <protection locked="0"/>
    </xf>
    <xf numFmtId="180" fontId="7" fillId="9" borderId="55" xfId="9" applyNumberFormat="1" applyFont="1" applyFill="1" applyBorder="1" applyAlignment="1" applyProtection="1">
      <alignment vertical="center"/>
      <protection hidden="1"/>
    </xf>
    <xf numFmtId="180" fontId="7" fillId="9" borderId="49" xfId="9" applyNumberFormat="1" applyFont="1" applyFill="1" applyBorder="1" applyAlignment="1" applyProtection="1">
      <alignment vertical="center"/>
      <protection hidden="1"/>
    </xf>
    <xf numFmtId="180" fontId="7" fillId="9" borderId="54" xfId="9" applyNumberFormat="1" applyFont="1" applyFill="1" applyBorder="1" applyAlignment="1" applyProtection="1">
      <alignment vertical="center"/>
      <protection hidden="1"/>
    </xf>
    <xf numFmtId="180" fontId="7" fillId="9" borderId="52" xfId="9" applyNumberFormat="1" applyFont="1" applyFill="1" applyBorder="1" applyAlignment="1" applyProtection="1">
      <alignment vertical="center"/>
      <protection hidden="1"/>
    </xf>
    <xf numFmtId="180" fontId="7" fillId="9" borderId="51" xfId="9" applyNumberFormat="1" applyFont="1" applyFill="1" applyBorder="1" applyAlignment="1" applyProtection="1">
      <alignment vertical="center"/>
      <protection hidden="1"/>
    </xf>
    <xf numFmtId="180" fontId="7" fillId="9" borderId="53" xfId="9" applyNumberFormat="1" applyFont="1" applyFill="1" applyBorder="1" applyAlignment="1" applyProtection="1">
      <alignment vertical="center"/>
      <protection hidden="1"/>
    </xf>
    <xf numFmtId="180" fontId="6" fillId="0" borderId="30" xfId="9" applyNumberFormat="1" applyFont="1" applyFill="1" applyBorder="1" applyAlignment="1" applyProtection="1">
      <alignment vertical="center"/>
      <protection locked="0"/>
    </xf>
    <xf numFmtId="180" fontId="6" fillId="0" borderId="31" xfId="9" applyNumberFormat="1" applyFont="1" applyFill="1" applyBorder="1" applyAlignment="1" applyProtection="1">
      <alignment vertical="center"/>
      <protection locked="0"/>
    </xf>
    <xf numFmtId="180" fontId="6" fillId="0" borderId="43" xfId="9" applyNumberFormat="1" applyFont="1" applyFill="1" applyBorder="1" applyAlignment="1" applyProtection="1">
      <alignment vertical="center"/>
      <protection locked="0"/>
    </xf>
    <xf numFmtId="180" fontId="6" fillId="0" borderId="32" xfId="9" applyNumberFormat="1" applyFont="1" applyFill="1" applyBorder="1" applyAlignment="1" applyProtection="1">
      <alignment vertical="center"/>
      <protection locked="0"/>
    </xf>
    <xf numFmtId="180" fontId="6" fillId="0" borderId="39" xfId="9" applyNumberFormat="1" applyFont="1" applyFill="1" applyBorder="1" applyAlignment="1" applyProtection="1">
      <alignment vertical="center"/>
      <protection locked="0"/>
    </xf>
    <xf numFmtId="180" fontId="6" fillId="0" borderId="50" xfId="9" applyNumberFormat="1" applyFont="1" applyFill="1" applyBorder="1" applyAlignment="1" applyProtection="1">
      <alignment vertical="center"/>
      <protection locked="0"/>
    </xf>
    <xf numFmtId="180" fontId="6" fillId="0" borderId="10" xfId="9" applyNumberFormat="1" applyFont="1" applyFill="1" applyBorder="1" applyAlignment="1" applyProtection="1">
      <alignment vertical="center"/>
      <protection locked="0"/>
    </xf>
    <xf numFmtId="180" fontId="6" fillId="0" borderId="27" xfId="9" applyNumberFormat="1" applyFont="1" applyFill="1" applyBorder="1" applyAlignment="1" applyProtection="1">
      <alignment vertical="center"/>
      <protection locked="0"/>
    </xf>
    <xf numFmtId="180" fontId="6" fillId="0" borderId="28" xfId="9" applyNumberFormat="1" applyFont="1" applyFill="1" applyBorder="1" applyAlignment="1" applyProtection="1">
      <alignment vertical="center"/>
      <protection locked="0"/>
    </xf>
    <xf numFmtId="180" fontId="6" fillId="0" borderId="0" xfId="9" applyNumberFormat="1" applyFont="1" applyFill="1" applyBorder="1" applyAlignment="1" applyProtection="1">
      <alignment vertical="center"/>
      <protection locked="0"/>
    </xf>
    <xf numFmtId="180" fontId="6" fillId="0" borderId="6" xfId="9" applyNumberFormat="1" applyFont="1" applyFill="1" applyBorder="1" applyAlignment="1" applyProtection="1">
      <alignment vertical="center"/>
      <protection locked="0"/>
    </xf>
    <xf numFmtId="180" fontId="6" fillId="0" borderId="7" xfId="9" applyNumberFormat="1" applyFont="1" applyFill="1" applyBorder="1" applyAlignment="1" applyProtection="1">
      <alignment vertical="center"/>
      <protection locked="0"/>
    </xf>
    <xf numFmtId="180" fontId="6" fillId="0" borderId="3" xfId="9" applyNumberFormat="1" applyFont="1" applyFill="1" applyBorder="1" applyAlignment="1" applyProtection="1">
      <alignment vertical="center"/>
      <protection locked="0"/>
    </xf>
    <xf numFmtId="180" fontId="7" fillId="9" borderId="63" xfId="9" applyNumberFormat="1" applyFont="1" applyFill="1" applyBorder="1" applyAlignment="1" applyProtection="1">
      <alignment vertical="center"/>
      <protection hidden="1"/>
    </xf>
    <xf numFmtId="180" fontId="7" fillId="2" borderId="53" xfId="0" applyNumberFormat="1" applyFont="1" applyFill="1" applyBorder="1" applyAlignment="1" applyProtection="1">
      <alignment vertical="center"/>
      <protection hidden="1"/>
    </xf>
    <xf numFmtId="180" fontId="6" fillId="0" borderId="35" xfId="9" applyNumberFormat="1" applyFont="1" applyFill="1" applyBorder="1" applyAlignment="1" applyProtection="1">
      <alignment vertical="center"/>
      <protection locked="0"/>
    </xf>
    <xf numFmtId="180" fontId="6" fillId="0" borderId="11" xfId="9" applyNumberFormat="1" applyFont="1" applyFill="1" applyBorder="1" applyAlignment="1" applyProtection="1">
      <alignment vertical="center"/>
      <protection locked="0"/>
    </xf>
    <xf numFmtId="180" fontId="6" fillId="0" borderId="45" xfId="9" applyNumberFormat="1" applyFont="1" applyFill="1" applyBorder="1" applyAlignment="1" applyProtection="1">
      <alignment vertical="center"/>
      <protection locked="0"/>
    </xf>
    <xf numFmtId="0" fontId="7" fillId="2" borderId="15" xfId="0" applyFont="1" applyFill="1" applyBorder="1" applyAlignment="1" applyProtection="1">
      <alignment horizontal="center" vertical="top" wrapText="1"/>
      <protection hidden="1"/>
    </xf>
    <xf numFmtId="0" fontId="7" fillId="2" borderId="73" xfId="0" applyFont="1" applyFill="1" applyBorder="1" applyAlignment="1" applyProtection="1">
      <alignment horizontal="center" vertical="top" wrapText="1"/>
      <protection hidden="1"/>
    </xf>
    <xf numFmtId="0" fontId="6" fillId="9" borderId="16" xfId="9" applyFont="1" applyFill="1" applyBorder="1" applyProtection="1">
      <protection hidden="1"/>
    </xf>
    <xf numFmtId="0" fontId="6" fillId="2" borderId="65" xfId="0" applyFont="1" applyFill="1" applyBorder="1" applyAlignment="1" applyProtection="1">
      <alignment horizontal="center" vertical="center"/>
      <protection hidden="1"/>
    </xf>
    <xf numFmtId="2" fontId="6" fillId="2" borderId="65" xfId="0" quotePrefix="1" applyNumberFormat="1" applyFont="1" applyFill="1" applyBorder="1" applyAlignment="1" applyProtection="1">
      <alignment horizontal="center" vertical="center"/>
      <protection hidden="1"/>
    </xf>
    <xf numFmtId="0" fontId="6" fillId="2" borderId="36" xfId="0" applyFont="1" applyFill="1" applyBorder="1" applyAlignment="1" applyProtection="1">
      <alignment horizontal="center" vertical="center"/>
      <protection hidden="1"/>
    </xf>
    <xf numFmtId="0" fontId="6" fillId="2" borderId="60" xfId="0" applyFont="1" applyFill="1" applyBorder="1" applyAlignment="1" applyProtection="1">
      <alignment horizontal="center" vertical="center"/>
      <protection hidden="1"/>
    </xf>
    <xf numFmtId="2" fontId="6" fillId="2" borderId="11" xfId="0" applyNumberFormat="1"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14" xfId="0" applyFont="1" applyFill="1" applyBorder="1" applyAlignment="1" applyProtection="1">
      <alignment horizontal="center" vertical="center"/>
      <protection hidden="1"/>
    </xf>
    <xf numFmtId="2" fontId="6" fillId="2" borderId="64" xfId="0" quotePrefix="1" applyNumberFormat="1" applyFont="1" applyFill="1" applyBorder="1" applyAlignment="1" applyProtection="1">
      <alignment horizontal="center" vertical="center"/>
      <protection hidden="1"/>
    </xf>
    <xf numFmtId="2" fontId="6" fillId="2" borderId="17" xfId="0" applyNumberFormat="1" applyFont="1" applyFill="1" applyBorder="1" applyAlignment="1" applyProtection="1">
      <alignment horizontal="center" vertical="center"/>
      <protection hidden="1"/>
    </xf>
    <xf numFmtId="0" fontId="7" fillId="2" borderId="84" xfId="0" applyFont="1" applyFill="1" applyBorder="1" applyAlignment="1" applyProtection="1">
      <alignment horizontal="center" vertical="top" wrapText="1"/>
      <protection hidden="1"/>
    </xf>
    <xf numFmtId="0" fontId="7" fillId="2" borderId="85" xfId="0" applyFont="1" applyFill="1" applyBorder="1" applyAlignment="1" applyProtection="1">
      <alignment horizontal="center" vertical="top" wrapText="1"/>
      <protection hidden="1"/>
    </xf>
    <xf numFmtId="0" fontId="6" fillId="9" borderId="79" xfId="9" applyFont="1" applyFill="1" applyBorder="1" applyProtection="1">
      <protection hidden="1"/>
    </xf>
    <xf numFmtId="180" fontId="6" fillId="2" borderId="32" xfId="0" applyNumberFormat="1" applyFont="1" applyFill="1" applyBorder="1" applyAlignment="1" applyProtection="1">
      <alignment vertical="center"/>
      <protection hidden="1"/>
    </xf>
    <xf numFmtId="186" fontId="6" fillId="2" borderId="32" xfId="0" quotePrefix="1" applyNumberFormat="1" applyFont="1" applyFill="1" applyBorder="1" applyAlignment="1" applyProtection="1">
      <alignment vertical="center"/>
      <protection hidden="1"/>
    </xf>
    <xf numFmtId="0" fontId="6" fillId="2" borderId="64" xfId="0" applyFont="1" applyFill="1" applyBorder="1" applyAlignment="1" applyProtection="1">
      <protection hidden="1"/>
    </xf>
    <xf numFmtId="0" fontId="6" fillId="9" borderId="37" xfId="9" applyFont="1" applyFill="1" applyBorder="1" applyProtection="1">
      <protection hidden="1"/>
    </xf>
    <xf numFmtId="0" fontId="6" fillId="2" borderId="0" xfId="9" applyFont="1" applyFill="1" applyAlignment="1" applyProtection="1">
      <protection hidden="1"/>
    </xf>
    <xf numFmtId="0" fontId="6" fillId="2" borderId="50" xfId="0" applyFont="1" applyFill="1" applyBorder="1" applyAlignment="1" applyProtection="1">
      <alignment horizontal="center" vertical="center"/>
      <protection hidden="1"/>
    </xf>
    <xf numFmtId="169" fontId="7" fillId="3" borderId="0" xfId="0" applyNumberFormat="1" applyFont="1" applyFill="1" applyBorder="1" applyProtection="1">
      <protection hidden="1"/>
    </xf>
    <xf numFmtId="0" fontId="7" fillId="4" borderId="4" xfId="0" applyFont="1" applyFill="1" applyBorder="1" applyAlignment="1" applyProtection="1">
      <alignment horizontal="center" vertical="top" wrapText="1"/>
      <protection hidden="1"/>
    </xf>
    <xf numFmtId="0" fontId="7" fillId="4" borderId="8" xfId="0" applyFont="1" applyFill="1" applyBorder="1" applyAlignment="1" applyProtection="1">
      <alignment horizontal="center" vertical="top" wrapText="1"/>
      <protection hidden="1"/>
    </xf>
    <xf numFmtId="0" fontId="7" fillId="5" borderId="65" xfId="0" applyNumberFormat="1" applyFont="1" applyFill="1" applyBorder="1" applyAlignment="1" applyProtection="1">
      <protection hidden="1"/>
    </xf>
    <xf numFmtId="0" fontId="7" fillId="5" borderId="65" xfId="0" applyFont="1" applyFill="1" applyBorder="1" applyAlignment="1" applyProtection="1">
      <alignment horizontal="center" vertical="center" wrapText="1"/>
      <protection hidden="1"/>
    </xf>
    <xf numFmtId="0" fontId="6" fillId="5" borderId="1" xfId="0" applyFont="1" applyFill="1" applyBorder="1" applyAlignment="1" applyProtection="1">
      <alignment vertical="center"/>
      <protection hidden="1"/>
    </xf>
    <xf numFmtId="0" fontId="6" fillId="0" borderId="0" xfId="0" applyFont="1" applyFill="1" applyAlignment="1" applyProtection="1">
      <alignment vertical="center"/>
      <protection hidden="1"/>
    </xf>
    <xf numFmtId="0" fontId="7" fillId="5" borderId="0" xfId="0" applyNumberFormat="1" applyFont="1" applyFill="1" applyBorder="1" applyAlignment="1" applyProtection="1">
      <protection hidden="1"/>
    </xf>
    <xf numFmtId="0" fontId="7" fillId="5" borderId="2" xfId="0" applyFont="1" applyFill="1" applyBorder="1" applyAlignment="1" applyProtection="1">
      <alignment horizontal="right" indent="1"/>
      <protection hidden="1"/>
    </xf>
    <xf numFmtId="0" fontId="6" fillId="5" borderId="2" xfId="0" applyFont="1" applyFill="1" applyBorder="1" applyAlignment="1" applyProtection="1">
      <protection hidden="1"/>
    </xf>
    <xf numFmtId="0" fontId="14" fillId="4" borderId="64" xfId="0" applyFont="1" applyFill="1" applyBorder="1" applyAlignment="1" applyProtection="1">
      <alignment horizontal="center" vertical="center"/>
      <protection hidden="1"/>
    </xf>
    <xf numFmtId="178" fontId="6" fillId="5" borderId="87" xfId="0" applyNumberFormat="1" applyFont="1" applyFill="1" applyBorder="1" applyAlignment="1" applyProtection="1">
      <alignment vertical="center"/>
      <protection locked="0"/>
    </xf>
    <xf numFmtId="180" fontId="17" fillId="5" borderId="88" xfId="0" applyNumberFormat="1" applyFont="1" applyFill="1" applyBorder="1" applyAlignment="1" applyProtection="1">
      <alignment vertical="center"/>
      <protection hidden="1"/>
    </xf>
    <xf numFmtId="180" fontId="6" fillId="0" borderId="0" xfId="0" applyNumberFormat="1" applyFont="1" applyFill="1" applyAlignment="1" applyProtection="1">
      <alignment vertical="center"/>
      <protection hidden="1"/>
    </xf>
    <xf numFmtId="178" fontId="6" fillId="5" borderId="89" xfId="0" applyNumberFormat="1" applyFont="1" applyFill="1" applyBorder="1" applyAlignment="1" applyProtection="1">
      <alignment vertical="center"/>
      <protection locked="0"/>
    </xf>
    <xf numFmtId="180" fontId="17" fillId="5" borderId="90" xfId="0" applyNumberFormat="1" applyFont="1" applyFill="1" applyBorder="1" applyAlignment="1" applyProtection="1">
      <alignment vertical="center"/>
      <protection hidden="1"/>
    </xf>
    <xf numFmtId="178" fontId="6" fillId="5" borderId="91" xfId="0" applyNumberFormat="1" applyFont="1" applyFill="1" applyBorder="1" applyAlignment="1" applyProtection="1">
      <alignment vertical="center"/>
      <protection locked="0"/>
    </xf>
    <xf numFmtId="180" fontId="17" fillId="5" borderId="92" xfId="0" applyNumberFormat="1" applyFont="1" applyFill="1" applyBorder="1" applyAlignment="1" applyProtection="1">
      <alignment vertical="center"/>
      <protection hidden="1"/>
    </xf>
    <xf numFmtId="178" fontId="6" fillId="5" borderId="0" xfId="0" applyNumberFormat="1" applyFont="1" applyFill="1" applyBorder="1" applyAlignment="1" applyProtection="1">
      <alignment vertical="center"/>
      <protection hidden="1"/>
    </xf>
    <xf numFmtId="180" fontId="17" fillId="5" borderId="0" xfId="0" applyNumberFormat="1" applyFont="1" applyFill="1" applyBorder="1" applyAlignment="1" applyProtection="1">
      <alignment vertical="center"/>
      <protection hidden="1"/>
    </xf>
    <xf numFmtId="0" fontId="6" fillId="9" borderId="9" xfId="0" applyFont="1" applyFill="1" applyBorder="1" applyProtection="1">
      <protection hidden="1"/>
    </xf>
    <xf numFmtId="0" fontId="6" fillId="5" borderId="0" xfId="0" applyNumberFormat="1" applyFont="1" applyFill="1" applyBorder="1" applyAlignment="1" applyProtection="1">
      <protection hidden="1"/>
    </xf>
    <xf numFmtId="0" fontId="6" fillId="5" borderId="2" xfId="0" applyNumberFormat="1" applyFont="1" applyFill="1" applyBorder="1" applyAlignment="1" applyProtection="1">
      <protection hidden="1"/>
    </xf>
    <xf numFmtId="0" fontId="6" fillId="5" borderId="21" xfId="0" applyFont="1" applyFill="1" applyBorder="1" applyAlignment="1" applyProtection="1">
      <protection hidden="1"/>
    </xf>
    <xf numFmtId="0" fontId="6" fillId="5" borderId="58" xfId="0" applyNumberFormat="1" applyFont="1" applyFill="1" applyBorder="1" applyAlignment="1" applyProtection="1">
      <protection hidden="1"/>
    </xf>
    <xf numFmtId="0" fontId="6" fillId="9" borderId="2" xfId="0" applyFont="1" applyFill="1" applyBorder="1" applyAlignment="1" applyProtection="1">
      <alignment vertical="top" wrapText="1"/>
      <protection hidden="1"/>
    </xf>
    <xf numFmtId="0" fontId="19" fillId="5" borderId="10" xfId="0" applyFont="1" applyFill="1" applyBorder="1" applyAlignment="1" applyProtection="1">
      <alignment vertical="center"/>
      <protection hidden="1"/>
    </xf>
    <xf numFmtId="178" fontId="5" fillId="0" borderId="66" xfId="0" applyNumberFormat="1" applyFont="1" applyFill="1" applyBorder="1" applyAlignment="1" applyProtection="1">
      <alignment vertical="center"/>
      <protection locked="0"/>
    </xf>
    <xf numFmtId="178" fontId="5" fillId="0" borderId="88" xfId="0" applyNumberFormat="1" applyFont="1" applyFill="1" applyBorder="1" applyAlignment="1" applyProtection="1">
      <alignment vertical="center"/>
      <protection locked="0"/>
    </xf>
    <xf numFmtId="0" fontId="6" fillId="9" borderId="2" xfId="0" applyFont="1" applyFill="1" applyBorder="1" applyProtection="1">
      <protection hidden="1"/>
    </xf>
    <xf numFmtId="178" fontId="5" fillId="0" borderId="90" xfId="0" applyNumberFormat="1" applyFont="1" applyFill="1" applyBorder="1" applyAlignment="1" applyProtection="1">
      <alignment vertical="center"/>
      <protection locked="0"/>
    </xf>
    <xf numFmtId="0" fontId="7" fillId="9" borderId="39" xfId="0" applyFont="1" applyFill="1" applyBorder="1" applyAlignment="1" applyProtection="1">
      <alignment horizontal="left" vertical="center" indent="1"/>
      <protection hidden="1"/>
    </xf>
    <xf numFmtId="0" fontId="6" fillId="9" borderId="50" xfId="0" applyFont="1" applyFill="1" applyBorder="1" applyProtection="1">
      <protection hidden="1"/>
    </xf>
    <xf numFmtId="0" fontId="7" fillId="9" borderId="34" xfId="0" applyFont="1" applyFill="1" applyBorder="1" applyAlignment="1" applyProtection="1">
      <alignment horizontal="left" vertical="center" indent="1"/>
      <protection hidden="1"/>
    </xf>
    <xf numFmtId="0" fontId="6" fillId="9" borderId="64" xfId="0" applyFont="1" applyFill="1" applyBorder="1" applyProtection="1">
      <protection hidden="1"/>
    </xf>
    <xf numFmtId="180" fontId="7" fillId="9" borderId="17" xfId="0" applyNumberFormat="1" applyFont="1" applyFill="1" applyBorder="1" applyAlignment="1" applyProtection="1">
      <alignment vertical="center"/>
      <protection hidden="1"/>
    </xf>
    <xf numFmtId="0" fontId="6" fillId="9" borderId="2" xfId="0" applyNumberFormat="1" applyFont="1" applyFill="1" applyBorder="1" applyAlignment="1" applyProtection="1">
      <protection hidden="1"/>
    </xf>
    <xf numFmtId="172" fontId="6" fillId="9" borderId="0" xfId="0" applyNumberFormat="1" applyFont="1" applyFill="1" applyBorder="1" applyProtection="1">
      <protection hidden="1"/>
    </xf>
    <xf numFmtId="172" fontId="7" fillId="5" borderId="7" xfId="0" applyNumberFormat="1" applyFont="1" applyFill="1" applyBorder="1" applyAlignment="1" applyProtection="1">
      <alignment horizontal="center" vertical="top" wrapText="1"/>
      <protection hidden="1"/>
    </xf>
    <xf numFmtId="172" fontId="7" fillId="5" borderId="8" xfId="0" applyNumberFormat="1" applyFont="1" applyFill="1" applyBorder="1" applyAlignment="1" applyProtection="1">
      <alignment horizontal="center" vertical="top" wrapText="1"/>
      <protection hidden="1"/>
    </xf>
    <xf numFmtId="0" fontId="6" fillId="9" borderId="6" xfId="0" applyFont="1" applyFill="1" applyBorder="1" applyAlignment="1" applyProtection="1">
      <alignment vertical="top" wrapText="1"/>
      <protection hidden="1"/>
    </xf>
    <xf numFmtId="0" fontId="6" fillId="0" borderId="0" xfId="0" applyNumberFormat="1" applyFont="1" applyFill="1" applyProtection="1">
      <protection hidden="1"/>
    </xf>
    <xf numFmtId="0" fontId="6" fillId="9" borderId="60" xfId="0" applyFont="1" applyFill="1" applyBorder="1" applyProtection="1">
      <protection hidden="1"/>
    </xf>
    <xf numFmtId="172" fontId="6" fillId="9" borderId="60" xfId="0" applyNumberFormat="1" applyFont="1" applyFill="1" applyBorder="1" applyProtection="1">
      <protection hidden="1"/>
    </xf>
    <xf numFmtId="0" fontId="6" fillId="9" borderId="42" xfId="0" applyFont="1" applyFill="1" applyBorder="1" applyProtection="1">
      <protection hidden="1"/>
    </xf>
    <xf numFmtId="0" fontId="6" fillId="9" borderId="62" xfId="0" applyFont="1" applyFill="1" applyBorder="1" applyProtection="1">
      <protection hidden="1"/>
    </xf>
    <xf numFmtId="0" fontId="7" fillId="3" borderId="11" xfId="9" applyFont="1" applyFill="1" applyBorder="1" applyAlignment="1" applyProtection="1">
      <alignment horizontal="center" vertical="top" wrapText="1"/>
      <protection hidden="1"/>
    </xf>
    <xf numFmtId="0" fontId="7" fillId="2" borderId="64" xfId="0" applyFont="1" applyFill="1" applyBorder="1" applyAlignment="1" applyProtection="1">
      <alignment horizontal="center" vertical="center"/>
      <protection hidden="1"/>
    </xf>
    <xf numFmtId="0" fontId="7" fillId="4" borderId="0" xfId="0" applyFont="1" applyFill="1" applyBorder="1" applyAlignment="1" applyProtection="1">
      <alignment vertical="center"/>
      <protection hidden="1"/>
    </xf>
    <xf numFmtId="0" fontId="7" fillId="3" borderId="9" xfId="0" applyFont="1" applyFill="1" applyBorder="1" applyAlignment="1" applyProtection="1">
      <alignment horizontal="center" vertical="center"/>
      <protection hidden="1"/>
    </xf>
    <xf numFmtId="180" fontId="7" fillId="4" borderId="50" xfId="0" applyNumberFormat="1" applyFont="1" applyFill="1" applyBorder="1" applyAlignment="1" applyProtection="1">
      <alignment vertical="center"/>
      <protection hidden="1"/>
    </xf>
    <xf numFmtId="180" fontId="7" fillId="4" borderId="0" xfId="0" applyNumberFormat="1" applyFont="1" applyFill="1" applyBorder="1" applyAlignment="1" applyProtection="1">
      <alignment vertical="center"/>
      <protection hidden="1"/>
    </xf>
    <xf numFmtId="169" fontId="6" fillId="4" borderId="44" xfId="0" applyNumberFormat="1" applyFont="1" applyFill="1" applyBorder="1" applyAlignment="1" applyProtection="1">
      <alignment vertical="center"/>
      <protection hidden="1"/>
    </xf>
    <xf numFmtId="0" fontId="14" fillId="5" borderId="9" xfId="0" applyFont="1" applyFill="1" applyBorder="1" applyAlignment="1" applyProtection="1">
      <alignment horizontal="center" vertical="center"/>
      <protection hidden="1"/>
    </xf>
    <xf numFmtId="169" fontId="6" fillId="4" borderId="40" xfId="0" applyNumberFormat="1" applyFont="1" applyFill="1" applyBorder="1" applyAlignment="1" applyProtection="1">
      <alignment vertical="center"/>
      <protection hidden="1"/>
    </xf>
    <xf numFmtId="0" fontId="13" fillId="4" borderId="2" xfId="0" applyFont="1" applyFill="1" applyBorder="1" applyAlignment="1" applyProtection="1">
      <alignment vertical="top"/>
      <protection hidden="1"/>
    </xf>
    <xf numFmtId="0" fontId="6" fillId="4" borderId="40" xfId="0" applyFont="1" applyFill="1" applyBorder="1" applyAlignment="1" applyProtection="1">
      <alignment vertical="center"/>
      <protection hidden="1"/>
    </xf>
    <xf numFmtId="0" fontId="6" fillId="4" borderId="42" xfId="0" applyFont="1" applyFill="1" applyBorder="1" applyAlignment="1" applyProtection="1">
      <alignment vertical="center"/>
      <protection hidden="1"/>
    </xf>
    <xf numFmtId="0" fontId="6" fillId="4" borderId="60" xfId="0" applyFont="1" applyFill="1" applyBorder="1" applyAlignment="1" applyProtection="1">
      <alignment horizontal="left" indent="2"/>
      <protection hidden="1"/>
    </xf>
    <xf numFmtId="0" fontId="7" fillId="5" borderId="65" xfId="0" applyFont="1" applyFill="1" applyBorder="1" applyAlignment="1" applyProtection="1">
      <alignment vertical="center"/>
      <protection hidden="1"/>
    </xf>
    <xf numFmtId="0" fontId="6" fillId="4" borderId="64" xfId="0" applyFont="1" applyFill="1" applyBorder="1" applyAlignment="1" applyProtection="1">
      <alignment horizontal="left" indent="2"/>
      <protection hidden="1"/>
    </xf>
    <xf numFmtId="0" fontId="6" fillId="4" borderId="58" xfId="0" applyFont="1" applyFill="1" applyBorder="1" applyAlignment="1" applyProtection="1">
      <alignment vertical="center"/>
      <protection hidden="1"/>
    </xf>
    <xf numFmtId="0" fontId="6" fillId="9" borderId="62" xfId="0" applyNumberFormat="1" applyFont="1" applyFill="1" applyBorder="1" applyAlignment="1" applyProtection="1">
      <protection hidden="1"/>
    </xf>
    <xf numFmtId="0" fontId="6" fillId="9" borderId="60" xfId="0" applyNumberFormat="1" applyFont="1" applyFill="1" applyBorder="1" applyAlignment="1" applyProtection="1">
      <protection hidden="1"/>
    </xf>
    <xf numFmtId="0" fontId="6" fillId="9" borderId="42" xfId="0" applyNumberFormat="1" applyFont="1" applyFill="1" applyBorder="1" applyAlignment="1" applyProtection="1">
      <protection hidden="1"/>
    </xf>
    <xf numFmtId="0" fontId="6" fillId="9" borderId="0" xfId="0" applyFont="1" applyFill="1" applyBorder="1" applyAlignment="1" applyProtection="1">
      <protection hidden="1"/>
    </xf>
    <xf numFmtId="0" fontId="6" fillId="9" borderId="1" xfId="0" applyFont="1" applyFill="1" applyBorder="1" applyAlignment="1" applyProtection="1">
      <alignment vertical="center"/>
      <protection hidden="1"/>
    </xf>
    <xf numFmtId="0" fontId="6" fillId="9" borderId="2" xfId="0" applyFont="1" applyFill="1" applyBorder="1" applyAlignment="1" applyProtection="1">
      <protection hidden="1"/>
    </xf>
    <xf numFmtId="172" fontId="7" fillId="5" borderId="0" xfId="0" applyNumberFormat="1" applyFont="1" applyFill="1" applyBorder="1" applyAlignment="1" applyProtection="1">
      <alignment horizontal="center" vertical="center"/>
      <protection hidden="1"/>
    </xf>
    <xf numFmtId="172" fontId="6" fillId="9" borderId="64" xfId="0" applyNumberFormat="1" applyFont="1" applyFill="1" applyBorder="1" applyProtection="1">
      <protection hidden="1"/>
    </xf>
    <xf numFmtId="172" fontId="6" fillId="9" borderId="50" xfId="0" applyNumberFormat="1" applyFont="1" applyFill="1" applyBorder="1" applyProtection="1">
      <protection hidden="1"/>
    </xf>
    <xf numFmtId="178" fontId="6" fillId="0" borderId="32" xfId="0" applyNumberFormat="1" applyFont="1" applyFill="1" applyBorder="1" applyAlignment="1" applyProtection="1">
      <alignment vertical="center"/>
      <protection locked="0"/>
    </xf>
    <xf numFmtId="0" fontId="6" fillId="9" borderId="32" xfId="0" applyFont="1" applyFill="1" applyBorder="1" applyProtection="1">
      <protection hidden="1"/>
    </xf>
    <xf numFmtId="0" fontId="6" fillId="5" borderId="26" xfId="0" applyFont="1" applyFill="1" applyBorder="1" applyAlignment="1" applyProtection="1">
      <protection hidden="1"/>
    </xf>
    <xf numFmtId="0" fontId="7" fillId="5" borderId="12" xfId="0" applyFont="1" applyFill="1" applyBorder="1" applyAlignment="1" applyProtection="1">
      <alignment horizontal="left" vertical="center" indent="1"/>
      <protection hidden="1"/>
    </xf>
    <xf numFmtId="0" fontId="19" fillId="5" borderId="12" xfId="0" applyFont="1" applyFill="1" applyBorder="1" applyAlignment="1" applyProtection="1">
      <alignment vertical="center"/>
      <protection hidden="1"/>
    </xf>
    <xf numFmtId="165" fontId="19" fillId="5" borderId="18" xfId="0" applyNumberFormat="1" applyFont="1" applyFill="1" applyBorder="1" applyAlignment="1" applyProtection="1">
      <protection hidden="1"/>
    </xf>
    <xf numFmtId="0" fontId="6" fillId="0" borderId="43" xfId="0" applyFont="1" applyFill="1" applyBorder="1" applyAlignment="1" applyProtection="1">
      <alignment horizontal="left" vertical="center" wrapText="1" indent="2"/>
      <protection locked="0"/>
    </xf>
    <xf numFmtId="0" fontId="7" fillId="9" borderId="43" xfId="0" applyFont="1" applyFill="1" applyBorder="1" applyAlignment="1" applyProtection="1">
      <alignment horizontal="left" vertical="center" indent="1"/>
      <protection hidden="1"/>
    </xf>
    <xf numFmtId="0" fontId="7" fillId="9" borderId="18" xfId="0" applyFont="1" applyFill="1" applyBorder="1" applyAlignment="1" applyProtection="1">
      <alignment horizontal="left" vertical="center" indent="1"/>
      <protection hidden="1"/>
    </xf>
    <xf numFmtId="172" fontId="7" fillId="5" borderId="0" xfId="0" applyNumberFormat="1" applyFont="1" applyFill="1" applyBorder="1" applyAlignment="1" applyProtection="1">
      <alignment horizontal="center" vertical="top" wrapText="1"/>
      <protection hidden="1"/>
    </xf>
    <xf numFmtId="0" fontId="14" fillId="9" borderId="64" xfId="0" applyFont="1" applyFill="1" applyBorder="1" applyAlignment="1" applyProtection="1">
      <protection hidden="1"/>
    </xf>
    <xf numFmtId="0" fontId="7" fillId="9" borderId="0" xfId="0" applyNumberFormat="1" applyFont="1" applyFill="1" applyBorder="1" applyAlignment="1" applyProtection="1">
      <alignment vertical="center"/>
      <protection hidden="1"/>
    </xf>
    <xf numFmtId="0" fontId="7" fillId="9" borderId="2" xfId="0" applyNumberFormat="1" applyFont="1" applyFill="1" applyBorder="1" applyAlignment="1" applyProtection="1">
      <alignment vertical="center"/>
      <protection hidden="1"/>
    </xf>
    <xf numFmtId="0" fontId="14" fillId="10" borderId="0" xfId="0" applyFont="1" applyFill="1" applyBorder="1" applyAlignment="1" applyProtection="1">
      <alignment horizontal="center" vertical="center"/>
      <protection hidden="1"/>
    </xf>
    <xf numFmtId="0" fontId="7" fillId="0" borderId="31" xfId="0" applyNumberFormat="1" applyFont="1" applyFill="1" applyBorder="1" applyAlignment="1" applyProtection="1">
      <alignment horizontal="left" vertical="center" indent="1"/>
      <protection hidden="1"/>
    </xf>
    <xf numFmtId="0" fontId="6" fillId="0" borderId="43" xfId="5" applyNumberFormat="1" applyFont="1" applyFill="1" applyBorder="1" applyAlignment="1" applyProtection="1">
      <alignment horizontal="left" vertical="center" wrapText="1" indent="1"/>
      <protection locked="0"/>
    </xf>
    <xf numFmtId="0" fontId="6" fillId="0" borderId="38" xfId="5" applyNumberFormat="1" applyFont="1" applyFill="1" applyBorder="1" applyAlignment="1" applyProtection="1">
      <alignment horizontal="left" vertical="center" wrapText="1" indent="1"/>
      <protection locked="0"/>
    </xf>
    <xf numFmtId="172" fontId="7" fillId="5" borderId="11" xfId="0" applyNumberFormat="1" applyFont="1" applyFill="1" applyBorder="1" applyAlignment="1" applyProtection="1">
      <alignment horizontal="center" vertical="center"/>
      <protection hidden="1"/>
    </xf>
    <xf numFmtId="178" fontId="5" fillId="0" borderId="11" xfId="0" applyNumberFormat="1" applyFont="1" applyFill="1" applyBorder="1" applyAlignment="1" applyProtection="1">
      <alignment vertical="center"/>
      <protection locked="0"/>
    </xf>
    <xf numFmtId="178" fontId="5" fillId="0" borderId="35" xfId="0" applyNumberFormat="1" applyFont="1" applyFill="1" applyBorder="1" applyAlignment="1" applyProtection="1">
      <alignment vertical="center"/>
      <protection locked="0"/>
    </xf>
    <xf numFmtId="178" fontId="7" fillId="5" borderId="35" xfId="0" applyNumberFormat="1" applyFont="1" applyFill="1" applyBorder="1" applyAlignment="1" applyProtection="1">
      <alignment vertical="center"/>
      <protection hidden="1"/>
    </xf>
    <xf numFmtId="0" fontId="7" fillId="9" borderId="95" xfId="0" applyFont="1" applyFill="1" applyBorder="1" applyAlignment="1" applyProtection="1">
      <alignment horizontal="left" vertical="center" indent="1"/>
      <protection hidden="1"/>
    </xf>
    <xf numFmtId="178" fontId="6" fillId="5" borderId="87" xfId="0" applyNumberFormat="1" applyFont="1" applyFill="1" applyBorder="1" applyAlignment="1" applyProtection="1">
      <alignment vertical="center"/>
      <protection hidden="1"/>
    </xf>
    <xf numFmtId="178" fontId="6" fillId="5" borderId="91" xfId="0" applyNumberFormat="1" applyFont="1" applyFill="1" applyBorder="1" applyAlignment="1" applyProtection="1">
      <alignment vertical="center"/>
      <protection hidden="1"/>
    </xf>
    <xf numFmtId="0" fontId="7" fillId="9" borderId="12" xfId="5" applyFont="1" applyFill="1" applyBorder="1" applyAlignment="1" applyProtection="1">
      <alignment horizontal="left" vertical="center" indent="1"/>
      <protection hidden="1"/>
    </xf>
    <xf numFmtId="175" fontId="7" fillId="9" borderId="43" xfId="5" applyNumberFormat="1" applyFont="1" applyFill="1" applyBorder="1" applyAlignment="1" applyProtection="1">
      <alignment horizontal="left" vertical="center" indent="1"/>
      <protection hidden="1"/>
    </xf>
    <xf numFmtId="0" fontId="7" fillId="9" borderId="95" xfId="5" applyFont="1" applyFill="1" applyBorder="1" applyAlignment="1" applyProtection="1">
      <alignment horizontal="left" vertical="center" indent="1"/>
      <protection hidden="1"/>
    </xf>
    <xf numFmtId="178" fontId="6" fillId="5" borderId="101" xfId="0" applyNumberFormat="1" applyFont="1" applyFill="1" applyBorder="1" applyAlignment="1" applyProtection="1">
      <alignment vertical="center"/>
      <protection hidden="1"/>
    </xf>
    <xf numFmtId="0" fontId="6" fillId="0" borderId="97" xfId="5" applyNumberFormat="1" applyFont="1" applyFill="1" applyBorder="1" applyAlignment="1" applyProtection="1">
      <alignment horizontal="left" vertical="center" wrapText="1" indent="1"/>
      <protection locked="0"/>
    </xf>
    <xf numFmtId="0" fontId="7" fillId="9" borderId="102" xfId="5" applyFont="1" applyFill="1" applyBorder="1" applyAlignment="1" applyProtection="1">
      <alignment horizontal="left" vertical="center" indent="1"/>
      <protection hidden="1"/>
    </xf>
    <xf numFmtId="0" fontId="7" fillId="9" borderId="26" xfId="5" applyFont="1" applyFill="1" applyBorder="1" applyAlignment="1" applyProtection="1">
      <alignment horizontal="left" vertical="center" indent="1"/>
      <protection hidden="1"/>
    </xf>
    <xf numFmtId="180" fontId="17" fillId="5" borderId="16" xfId="0" applyNumberFormat="1" applyFont="1" applyFill="1" applyBorder="1" applyAlignment="1" applyProtection="1">
      <alignment vertical="center"/>
      <protection hidden="1"/>
    </xf>
    <xf numFmtId="180" fontId="17" fillId="5" borderId="79" xfId="0" applyNumberFormat="1" applyFont="1" applyFill="1" applyBorder="1" applyAlignment="1" applyProtection="1">
      <alignment vertical="center"/>
      <protection hidden="1"/>
    </xf>
    <xf numFmtId="0" fontId="14" fillId="10" borderId="9" xfId="0" applyFont="1" applyFill="1" applyBorder="1" applyAlignment="1" applyProtection="1">
      <alignment horizontal="center" vertical="center"/>
      <protection hidden="1"/>
    </xf>
    <xf numFmtId="0" fontId="6" fillId="9" borderId="9" xfId="0" applyFont="1" applyFill="1" applyBorder="1" applyAlignment="1" applyProtection="1">
      <protection hidden="1"/>
    </xf>
    <xf numFmtId="0" fontId="12" fillId="5" borderId="0" xfId="0" applyNumberFormat="1" applyFont="1" applyFill="1" applyAlignment="1" applyProtection="1">
      <protection hidden="1"/>
    </xf>
    <xf numFmtId="172" fontId="10" fillId="0" borderId="31" xfId="0" applyNumberFormat="1" applyFont="1" applyFill="1" applyBorder="1" applyAlignment="1" applyProtection="1">
      <alignment horizontal="center" vertical="center"/>
      <protection hidden="1"/>
    </xf>
    <xf numFmtId="0" fontId="6" fillId="9" borderId="103" xfId="0" applyFont="1" applyFill="1" applyBorder="1" applyProtection="1">
      <protection hidden="1"/>
    </xf>
    <xf numFmtId="0" fontId="6" fillId="9" borderId="8" xfId="4" applyFont="1" applyFill="1" applyBorder="1" applyAlignment="1" applyProtection="1">
      <protection hidden="1"/>
    </xf>
    <xf numFmtId="0" fontId="6" fillId="9" borderId="8" xfId="4" applyFont="1" applyFill="1" applyBorder="1" applyProtection="1">
      <protection hidden="1"/>
    </xf>
    <xf numFmtId="172" fontId="7" fillId="5" borderId="0" xfId="4" applyNumberFormat="1" applyFont="1" applyFill="1" applyBorder="1" applyAlignment="1" applyProtection="1">
      <alignment vertical="center"/>
      <protection hidden="1"/>
    </xf>
    <xf numFmtId="172" fontId="7" fillId="5" borderId="0" xfId="4" applyNumberFormat="1" applyFont="1" applyFill="1" applyBorder="1" applyAlignment="1" applyProtection="1">
      <protection hidden="1"/>
    </xf>
    <xf numFmtId="172" fontId="7" fillId="5" borderId="0" xfId="4" applyNumberFormat="1" applyFont="1" applyFill="1" applyBorder="1" applyAlignment="1" applyProtection="1">
      <alignment horizontal="left" vertical="center" indent="1"/>
      <protection hidden="1"/>
    </xf>
    <xf numFmtId="0" fontId="6" fillId="9" borderId="44" xfId="4" applyFont="1" applyFill="1" applyBorder="1" applyAlignment="1" applyProtection="1">
      <alignment vertical="top"/>
      <protection hidden="1"/>
    </xf>
    <xf numFmtId="0" fontId="6" fillId="9" borderId="9" xfId="4" applyFont="1" applyFill="1" applyBorder="1" applyAlignment="1" applyProtection="1">
      <alignment vertical="top"/>
      <protection hidden="1"/>
    </xf>
    <xf numFmtId="0" fontId="6" fillId="9" borderId="9" xfId="4" applyFont="1" applyFill="1" applyBorder="1" applyAlignment="1" applyProtection="1">
      <protection hidden="1"/>
    </xf>
    <xf numFmtId="0" fontId="6" fillId="9" borderId="9" xfId="4" applyFont="1" applyFill="1" applyBorder="1" applyProtection="1">
      <protection hidden="1"/>
    </xf>
    <xf numFmtId="0" fontId="6" fillId="9" borderId="62" xfId="4" applyFont="1" applyFill="1" applyBorder="1" applyProtection="1">
      <protection hidden="1"/>
    </xf>
    <xf numFmtId="172" fontId="6" fillId="5" borderId="65" xfId="4" applyNumberFormat="1" applyFont="1" applyFill="1" applyBorder="1" applyAlignment="1" applyProtection="1">
      <protection hidden="1"/>
    </xf>
    <xf numFmtId="172" fontId="7" fillId="5" borderId="65" xfId="4" applyNumberFormat="1" applyFont="1" applyFill="1" applyBorder="1" applyAlignment="1" applyProtection="1">
      <alignment horizontal="left" indent="1"/>
      <protection hidden="1"/>
    </xf>
    <xf numFmtId="0" fontId="6" fillId="5" borderId="65" xfId="4" applyFont="1" applyFill="1" applyBorder="1" applyAlignment="1" applyProtection="1">
      <alignment vertical="top"/>
      <protection hidden="1"/>
    </xf>
    <xf numFmtId="0" fontId="7" fillId="5" borderId="65" xfId="0" applyNumberFormat="1" applyFont="1" applyFill="1" applyBorder="1" applyAlignment="1" applyProtection="1">
      <alignment horizontal="right" vertical="center" indent="1"/>
      <protection hidden="1"/>
    </xf>
    <xf numFmtId="0" fontId="6" fillId="5" borderId="65" xfId="4" applyFont="1" applyFill="1" applyBorder="1" applyAlignment="1" applyProtection="1">
      <protection hidden="1"/>
    </xf>
    <xf numFmtId="0" fontId="6" fillId="5" borderId="1" xfId="4" applyFont="1" applyFill="1" applyBorder="1" applyAlignment="1" applyProtection="1">
      <alignment vertical="top"/>
      <protection hidden="1"/>
    </xf>
    <xf numFmtId="0" fontId="7" fillId="6" borderId="44" xfId="0" applyFont="1" applyFill="1" applyBorder="1" applyAlignment="1" applyProtection="1">
      <alignment horizontal="centerContinuous"/>
      <protection hidden="1"/>
    </xf>
    <xf numFmtId="172" fontId="6" fillId="6" borderId="65" xfId="0" applyNumberFormat="1" applyFont="1" applyFill="1" applyBorder="1" applyAlignment="1" applyProtection="1">
      <protection hidden="1"/>
    </xf>
    <xf numFmtId="172" fontId="7" fillId="6" borderId="65" xfId="0" applyNumberFormat="1" applyFont="1" applyFill="1" applyBorder="1" applyAlignment="1" applyProtection="1">
      <alignment vertical="center" wrapText="1"/>
      <protection hidden="1"/>
    </xf>
    <xf numFmtId="172" fontId="7" fillId="6" borderId="65" xfId="0" applyNumberFormat="1" applyFont="1" applyFill="1" applyBorder="1" applyAlignment="1" applyProtection="1">
      <alignment horizontal="right" vertical="center" indent="1"/>
      <protection hidden="1"/>
    </xf>
    <xf numFmtId="172" fontId="7" fillId="6" borderId="1" xfId="0" applyNumberFormat="1" applyFont="1" applyFill="1" applyBorder="1" applyAlignment="1" applyProtection="1">
      <alignment horizontal="right" vertical="center" indent="1"/>
      <protection hidden="1"/>
    </xf>
    <xf numFmtId="172" fontId="7" fillId="11" borderId="65" xfId="0" applyNumberFormat="1" applyFont="1" applyFill="1" applyBorder="1" applyAlignment="1" applyProtection="1">
      <alignment horizontal="right" vertical="center" indent="1"/>
      <protection hidden="1"/>
    </xf>
    <xf numFmtId="172" fontId="7" fillId="11" borderId="1" xfId="0" applyNumberFormat="1" applyFont="1" applyFill="1" applyBorder="1" applyAlignment="1" applyProtection="1">
      <alignment horizontal="right" vertical="center" indent="1"/>
      <protection hidden="1"/>
    </xf>
    <xf numFmtId="0" fontId="6" fillId="5" borderId="103" xfId="4" applyFont="1" applyFill="1" applyBorder="1" applyAlignment="1" applyProtection="1">
      <alignment vertical="top"/>
      <protection hidden="1"/>
    </xf>
    <xf numFmtId="172" fontId="7" fillId="6" borderId="103" xfId="0" applyNumberFormat="1" applyFont="1" applyFill="1" applyBorder="1" applyAlignment="1" applyProtection="1">
      <alignment horizontal="right" vertical="center" indent="1"/>
      <protection hidden="1"/>
    </xf>
    <xf numFmtId="172" fontId="7" fillId="11" borderId="103" xfId="0" applyNumberFormat="1" applyFont="1" applyFill="1" applyBorder="1" applyAlignment="1" applyProtection="1">
      <alignment horizontal="right" vertical="center" indent="1"/>
      <protection hidden="1"/>
    </xf>
    <xf numFmtId="172" fontId="7" fillId="6" borderId="103" xfId="0" applyNumberFormat="1" applyFont="1" applyFill="1" applyBorder="1" applyAlignment="1" applyProtection="1">
      <alignment vertical="center" wrapText="1"/>
      <protection hidden="1"/>
    </xf>
    <xf numFmtId="172" fontId="7" fillId="11" borderId="103" xfId="0" applyNumberFormat="1" applyFont="1" applyFill="1" applyBorder="1" applyAlignment="1" applyProtection="1">
      <alignment vertical="center" wrapText="1"/>
      <protection hidden="1"/>
    </xf>
    <xf numFmtId="0" fontId="6" fillId="5" borderId="103" xfId="4" applyFont="1" applyFill="1" applyBorder="1" applyAlignment="1" applyProtection="1">
      <protection hidden="1"/>
    </xf>
    <xf numFmtId="0" fontId="18" fillId="6" borderId="103" xfId="0" applyFont="1" applyFill="1" applyBorder="1" applyAlignment="1" applyProtection="1">
      <protection hidden="1"/>
    </xf>
    <xf numFmtId="0" fontId="18" fillId="11" borderId="103" xfId="0" applyFont="1" applyFill="1" applyBorder="1" applyAlignment="1" applyProtection="1">
      <protection hidden="1"/>
    </xf>
    <xf numFmtId="0" fontId="12" fillId="6" borderId="103" xfId="0" applyFont="1" applyFill="1" applyBorder="1" applyAlignment="1" applyProtection="1">
      <alignment vertical="center"/>
      <protection hidden="1"/>
    </xf>
    <xf numFmtId="0" fontId="12" fillId="11" borderId="103" xfId="0" applyFont="1" applyFill="1" applyBorder="1" applyAlignment="1" applyProtection="1">
      <alignment vertical="center"/>
      <protection hidden="1"/>
    </xf>
    <xf numFmtId="0" fontId="6" fillId="5" borderId="103" xfId="4" applyFont="1" applyFill="1" applyBorder="1" applyProtection="1">
      <protection hidden="1"/>
    </xf>
    <xf numFmtId="0" fontId="12" fillId="6" borderId="103" xfId="0" applyFont="1" applyFill="1" applyBorder="1" applyAlignment="1" applyProtection="1">
      <protection hidden="1"/>
    </xf>
    <xf numFmtId="0" fontId="12" fillId="11" borderId="103" xfId="0" applyFont="1" applyFill="1" applyBorder="1" applyAlignment="1" applyProtection="1">
      <protection hidden="1"/>
    </xf>
    <xf numFmtId="0" fontId="6" fillId="7" borderId="103" xfId="4" applyFont="1" applyFill="1" applyBorder="1" applyProtection="1">
      <protection hidden="1"/>
    </xf>
    <xf numFmtId="0" fontId="6" fillId="12" borderId="103" xfId="4" applyFont="1" applyFill="1" applyBorder="1" applyProtection="1">
      <protection hidden="1"/>
    </xf>
    <xf numFmtId="172" fontId="6" fillId="5" borderId="103" xfId="7" applyNumberFormat="1" applyFont="1" applyFill="1" applyBorder="1" applyAlignment="1" applyProtection="1">
      <alignment vertical="center"/>
      <protection hidden="1"/>
    </xf>
    <xf numFmtId="0" fontId="6" fillId="5" borderId="60" xfId="4" applyFont="1" applyFill="1" applyBorder="1" applyProtection="1">
      <protection hidden="1"/>
    </xf>
    <xf numFmtId="0" fontId="6" fillId="5" borderId="42" xfId="4" applyFont="1" applyFill="1" applyBorder="1" applyProtection="1">
      <protection hidden="1"/>
    </xf>
    <xf numFmtId="0" fontId="6" fillId="7" borderId="62" xfId="4" applyFont="1" applyFill="1" applyBorder="1" applyProtection="1">
      <protection hidden="1"/>
    </xf>
    <xf numFmtId="0" fontId="6" fillId="7" borderId="60" xfId="4" applyFont="1" applyFill="1" applyBorder="1" applyProtection="1">
      <protection hidden="1"/>
    </xf>
    <xf numFmtId="0" fontId="6" fillId="7" borderId="42" xfId="4" applyFont="1" applyFill="1" applyBorder="1" applyProtection="1">
      <protection hidden="1"/>
    </xf>
    <xf numFmtId="0" fontId="6" fillId="12" borderId="60" xfId="4" applyFont="1" applyFill="1" applyBorder="1" applyProtection="1">
      <protection hidden="1"/>
    </xf>
    <xf numFmtId="0" fontId="6" fillId="12" borderId="42" xfId="4" applyFont="1" applyFill="1" applyBorder="1" applyProtection="1">
      <protection hidden="1"/>
    </xf>
    <xf numFmtId="0" fontId="13" fillId="4" borderId="0" xfId="0" applyFont="1" applyFill="1" applyBorder="1" applyAlignment="1" applyProtection="1">
      <protection hidden="1"/>
    </xf>
    <xf numFmtId="0" fontId="7" fillId="2" borderId="103" xfId="0" applyFont="1" applyFill="1" applyBorder="1" applyAlignment="1" applyProtection="1">
      <alignment vertical="center"/>
      <protection hidden="1"/>
    </xf>
    <xf numFmtId="0" fontId="7" fillId="4" borderId="0" xfId="0" applyFont="1" applyFill="1" applyBorder="1" applyAlignment="1" applyProtection="1">
      <alignment horizontal="right" vertical="center"/>
      <protection hidden="1"/>
    </xf>
    <xf numFmtId="0" fontId="6" fillId="9" borderId="44" xfId="0" applyFont="1" applyFill="1" applyBorder="1" applyProtection="1">
      <protection hidden="1"/>
    </xf>
    <xf numFmtId="0" fontId="6" fillId="4" borderId="26" xfId="0" applyFont="1" applyFill="1" applyBorder="1" applyAlignment="1" applyProtection="1">
      <protection hidden="1"/>
    </xf>
    <xf numFmtId="0" fontId="6" fillId="4" borderId="12" xfId="0" applyFont="1" applyFill="1" applyBorder="1" applyAlignment="1" applyProtection="1">
      <alignment horizontal="left" vertical="center" wrapText="1" indent="1"/>
      <protection hidden="1"/>
    </xf>
    <xf numFmtId="0" fontId="6" fillId="4" borderId="12" xfId="0" applyFont="1" applyFill="1" applyBorder="1" applyAlignment="1" applyProtection="1">
      <protection hidden="1"/>
    </xf>
    <xf numFmtId="0" fontId="6" fillId="4" borderId="12" xfId="0" applyFont="1" applyFill="1" applyBorder="1" applyAlignment="1" applyProtection="1">
      <alignment vertical="center" wrapText="1"/>
      <protection hidden="1"/>
    </xf>
    <xf numFmtId="0" fontId="7" fillId="4" borderId="12" xfId="0" applyFont="1" applyFill="1" applyBorder="1" applyAlignment="1" applyProtection="1">
      <protection hidden="1"/>
    </xf>
    <xf numFmtId="0" fontId="7" fillId="4" borderId="18" xfId="0" applyFont="1" applyFill="1" applyBorder="1" applyAlignment="1" applyProtection="1">
      <protection hidden="1"/>
    </xf>
    <xf numFmtId="0" fontId="7" fillId="4" borderId="12" xfId="0" applyFont="1" applyFill="1" applyBorder="1" applyAlignment="1" applyProtection="1">
      <alignment horizontal="left" vertical="center" indent="1"/>
      <protection hidden="1"/>
    </xf>
    <xf numFmtId="0" fontId="7" fillId="4" borderId="12" xfId="0" applyFont="1" applyFill="1" applyBorder="1" applyAlignment="1" applyProtection="1">
      <alignment horizontal="left" vertical="center" indent="2"/>
      <protection hidden="1"/>
    </xf>
    <xf numFmtId="0" fontId="6" fillId="4" borderId="12" xfId="0" applyFont="1" applyFill="1" applyBorder="1" applyAlignment="1" applyProtection="1">
      <alignment horizontal="left" vertical="center" indent="3"/>
      <protection hidden="1"/>
    </xf>
    <xf numFmtId="0" fontId="7" fillId="4" borderId="12" xfId="0" applyFont="1" applyFill="1" applyBorder="1" applyAlignment="1" applyProtection="1">
      <alignment horizontal="left" vertical="center" indent="3"/>
      <protection hidden="1"/>
    </xf>
    <xf numFmtId="0" fontId="6" fillId="4" borderId="12" xfId="0" applyFont="1" applyFill="1" applyBorder="1" applyAlignment="1" applyProtection="1">
      <alignment horizontal="left" vertical="center" wrapText="1" indent="4"/>
      <protection hidden="1"/>
    </xf>
    <xf numFmtId="0" fontId="7" fillId="4" borderId="26" xfId="0" applyFont="1" applyFill="1" applyBorder="1" applyAlignment="1" applyProtection="1">
      <alignment horizontal="left" vertical="center" indent="1"/>
      <protection hidden="1"/>
    </xf>
    <xf numFmtId="0" fontId="7" fillId="4" borderId="18" xfId="0" applyFont="1" applyFill="1" applyBorder="1" applyAlignment="1" applyProtection="1">
      <alignment horizontal="left" vertical="center" indent="2"/>
      <protection hidden="1"/>
    </xf>
    <xf numFmtId="0" fontId="6" fillId="4" borderId="58" xfId="0" applyFont="1" applyFill="1" applyBorder="1" applyAlignment="1" applyProtection="1">
      <protection hidden="1"/>
    </xf>
    <xf numFmtId="0" fontId="13" fillId="4" borderId="0" xfId="0" applyFont="1" applyFill="1" applyBorder="1" applyProtection="1">
      <protection hidden="1"/>
    </xf>
    <xf numFmtId="0" fontId="7" fillId="4" borderId="0" xfId="0" applyFont="1" applyFill="1" applyBorder="1" applyAlignment="1" applyProtection="1">
      <alignment horizontal="left"/>
      <protection hidden="1"/>
    </xf>
    <xf numFmtId="0" fontId="7" fillId="3" borderId="0" xfId="9" applyFont="1" applyFill="1" applyBorder="1" applyProtection="1">
      <protection hidden="1"/>
    </xf>
    <xf numFmtId="0" fontId="7" fillId="4" borderId="0" xfId="0" applyFont="1" applyFill="1" applyBorder="1" applyAlignment="1" applyProtection="1">
      <alignment horizontal="left" vertical="center" indent="1"/>
      <protection hidden="1"/>
    </xf>
    <xf numFmtId="0" fontId="7" fillId="4" borderId="60" xfId="0" applyFont="1" applyFill="1" applyBorder="1" applyAlignment="1" applyProtection="1">
      <alignment horizontal="left" vertical="center" indent="1"/>
      <protection hidden="1"/>
    </xf>
    <xf numFmtId="0" fontId="7" fillId="4" borderId="24" xfId="0" applyFont="1" applyFill="1" applyBorder="1" applyAlignment="1" applyProtection="1">
      <alignment horizontal="left"/>
      <protection hidden="1"/>
    </xf>
    <xf numFmtId="0" fontId="7" fillId="4" borderId="6" xfId="0" applyFont="1" applyFill="1" applyBorder="1" applyAlignment="1" applyProtection="1">
      <alignment horizontal="left" vertical="center" indent="1"/>
      <protection hidden="1"/>
    </xf>
    <xf numFmtId="0" fontId="6" fillId="4" borderId="6" xfId="0" applyFont="1" applyFill="1" applyBorder="1" applyAlignment="1" applyProtection="1">
      <alignment vertical="center"/>
      <protection hidden="1"/>
    </xf>
    <xf numFmtId="0" fontId="6" fillId="4" borderId="15" xfId="0" applyFont="1" applyFill="1" applyBorder="1" applyAlignment="1" applyProtection="1">
      <alignment vertical="center"/>
      <protection hidden="1"/>
    </xf>
    <xf numFmtId="0" fontId="6" fillId="4" borderId="6" xfId="0" applyFont="1" applyFill="1" applyBorder="1" applyAlignment="1" applyProtection="1">
      <alignment horizontal="left" vertical="center" indent="2"/>
      <protection hidden="1"/>
    </xf>
    <xf numFmtId="0" fontId="7" fillId="4" borderId="65" xfId="0" applyFont="1" applyFill="1" applyBorder="1" applyAlignment="1" applyProtection="1">
      <alignment horizontal="left" vertical="center" indent="1"/>
      <protection hidden="1"/>
    </xf>
    <xf numFmtId="0" fontId="7" fillId="5" borderId="0" xfId="0" applyFont="1" applyFill="1" applyBorder="1" applyAlignment="1" applyProtection="1">
      <alignment horizontal="left" vertical="center"/>
      <protection hidden="1"/>
    </xf>
    <xf numFmtId="0" fontId="7" fillId="5" borderId="0" xfId="0" applyFont="1" applyFill="1" applyBorder="1" applyAlignment="1" applyProtection="1">
      <protection hidden="1"/>
    </xf>
    <xf numFmtId="0" fontId="6" fillId="5" borderId="24" xfId="0" applyFont="1" applyFill="1" applyBorder="1" applyProtection="1">
      <protection hidden="1"/>
    </xf>
    <xf numFmtId="0" fontId="7" fillId="4" borderId="6" xfId="0" applyFont="1" applyFill="1" applyBorder="1" applyAlignment="1" applyProtection="1">
      <alignment horizontal="left" vertical="center" wrapText="1" indent="1"/>
      <protection hidden="1"/>
    </xf>
    <xf numFmtId="0" fontId="6" fillId="5" borderId="6" xfId="0" applyFont="1" applyFill="1" applyBorder="1" applyProtection="1">
      <protection hidden="1"/>
    </xf>
    <xf numFmtId="0" fontId="6" fillId="4" borderId="6" xfId="0" applyFont="1" applyFill="1" applyBorder="1" applyAlignment="1" applyProtection="1">
      <protection hidden="1"/>
    </xf>
    <xf numFmtId="0" fontId="6" fillId="4" borderId="15" xfId="0" applyFont="1" applyFill="1" applyBorder="1" applyAlignment="1" applyProtection="1">
      <protection hidden="1"/>
    </xf>
    <xf numFmtId="0" fontId="6" fillId="4" borderId="6" xfId="0" applyFont="1" applyFill="1" applyBorder="1" applyAlignment="1" applyProtection="1">
      <alignment horizontal="left" vertical="center" indent="1"/>
      <protection hidden="1"/>
    </xf>
    <xf numFmtId="0" fontId="6" fillId="4" borderId="30" xfId="0" applyFont="1" applyFill="1" applyBorder="1" applyAlignment="1" applyProtection="1">
      <alignment horizontal="left" vertical="center" indent="1"/>
      <protection hidden="1"/>
    </xf>
    <xf numFmtId="0" fontId="7" fillId="5" borderId="15" xfId="0" applyFont="1" applyFill="1" applyBorder="1" applyAlignment="1" applyProtection="1">
      <alignment horizontal="left" vertical="center" wrapText="1" indent="1"/>
      <protection hidden="1"/>
    </xf>
    <xf numFmtId="0" fontId="6" fillId="9" borderId="0" xfId="9" applyFont="1" applyFill="1" applyProtection="1">
      <protection hidden="1"/>
    </xf>
    <xf numFmtId="0" fontId="6" fillId="4" borderId="0" xfId="0" applyFont="1" applyFill="1" applyBorder="1" applyAlignment="1" applyProtection="1">
      <alignment horizontal="left" vertical="center"/>
      <protection hidden="1"/>
    </xf>
    <xf numFmtId="0" fontId="7" fillId="3" borderId="0" xfId="9" applyFont="1" applyFill="1" applyBorder="1" applyAlignment="1" applyProtection="1">
      <alignment horizontal="left"/>
      <protection hidden="1"/>
    </xf>
    <xf numFmtId="0" fontId="7" fillId="3" borderId="0" xfId="9" applyFont="1" applyFill="1" applyBorder="1" applyAlignment="1" applyProtection="1">
      <alignment horizontal="left" vertical="center" indent="1"/>
      <protection hidden="1"/>
    </xf>
    <xf numFmtId="0" fontId="6" fillId="9" borderId="9" xfId="9" applyFont="1" applyFill="1" applyBorder="1" applyProtection="1">
      <protection hidden="1"/>
    </xf>
    <xf numFmtId="0" fontId="6" fillId="9" borderId="9" xfId="9" applyFont="1" applyFill="1" applyBorder="1" applyAlignment="1" applyProtection="1">
      <alignment vertical="center"/>
      <protection hidden="1"/>
    </xf>
    <xf numFmtId="0" fontId="6" fillId="9" borderId="44" xfId="9" applyFont="1" applyFill="1" applyBorder="1" applyAlignment="1" applyProtection="1">
      <alignment vertical="top"/>
      <protection hidden="1"/>
    </xf>
    <xf numFmtId="0" fontId="6" fillId="9" borderId="62" xfId="9" applyFont="1" applyFill="1" applyBorder="1" applyAlignment="1" applyProtection="1">
      <alignment vertical="center"/>
      <protection hidden="1"/>
    </xf>
    <xf numFmtId="0" fontId="7" fillId="3" borderId="103" xfId="9" applyFont="1" applyFill="1" applyBorder="1" applyAlignment="1" applyProtection="1">
      <alignment horizontal="center" vertical="top"/>
      <protection hidden="1"/>
    </xf>
    <xf numFmtId="0" fontId="7" fillId="3" borderId="103" xfId="9" applyFont="1" applyFill="1" applyBorder="1" applyAlignment="1" applyProtection="1">
      <alignment horizontal="center" vertical="center"/>
      <protection hidden="1"/>
    </xf>
    <xf numFmtId="172" fontId="7" fillId="2" borderId="103" xfId="0" applyNumberFormat="1" applyFont="1" applyFill="1" applyBorder="1" applyAlignment="1" applyProtection="1">
      <alignment horizontal="center" vertical="top"/>
      <protection hidden="1"/>
    </xf>
    <xf numFmtId="0" fontId="7" fillId="3" borderId="0" xfId="0" applyFont="1" applyFill="1" applyBorder="1" applyAlignment="1" applyProtection="1">
      <alignment horizontal="left"/>
      <protection hidden="1"/>
    </xf>
    <xf numFmtId="0" fontId="7" fillId="3" borderId="0" xfId="0" applyFont="1" applyFill="1" applyBorder="1" applyAlignment="1" applyProtection="1">
      <alignment horizontal="left" indent="1"/>
      <protection hidden="1"/>
    </xf>
    <xf numFmtId="0" fontId="7" fillId="5" borderId="15" xfId="0" applyFont="1" applyFill="1" applyBorder="1" applyAlignment="1" applyProtection="1">
      <alignment horizontal="left" vertical="center" wrapText="1" indent="2"/>
      <protection hidden="1"/>
    </xf>
    <xf numFmtId="0" fontId="7" fillId="4" borderId="0" xfId="0" applyFont="1" applyFill="1" applyBorder="1" applyAlignment="1" applyProtection="1">
      <alignment horizontal="left" vertical="center"/>
      <protection hidden="1"/>
    </xf>
    <xf numFmtId="0" fontId="7" fillId="9" borderId="0" xfId="0" applyFont="1" applyFill="1" applyBorder="1" applyProtection="1">
      <protection hidden="1"/>
    </xf>
    <xf numFmtId="0" fontId="6" fillId="10" borderId="0" xfId="0" applyFont="1" applyFill="1" applyBorder="1" applyAlignment="1" applyProtection="1">
      <protection hidden="1"/>
    </xf>
    <xf numFmtId="0" fontId="6" fillId="10" borderId="60" xfId="0" applyFont="1" applyFill="1" applyBorder="1" applyAlignment="1" applyProtection="1">
      <protection hidden="1"/>
    </xf>
    <xf numFmtId="0" fontId="6" fillId="9" borderId="44" xfId="0" applyFont="1" applyFill="1" applyBorder="1" applyAlignment="1" applyProtection="1">
      <alignment vertical="center"/>
      <protection hidden="1"/>
    </xf>
    <xf numFmtId="0" fontId="6" fillId="9" borderId="0" xfId="0" applyFont="1" applyFill="1" applyAlignment="1" applyProtection="1">
      <protection hidden="1"/>
    </xf>
    <xf numFmtId="0" fontId="25" fillId="9" borderId="0" xfId="0" applyFont="1" applyFill="1" applyAlignment="1" applyProtection="1">
      <alignment vertical="center"/>
      <protection hidden="1"/>
    </xf>
    <xf numFmtId="0" fontId="6" fillId="9" borderId="9" xfId="0" applyNumberFormat="1" applyFont="1" applyFill="1" applyBorder="1" applyAlignment="1" applyProtection="1">
      <protection hidden="1"/>
    </xf>
    <xf numFmtId="0" fontId="6" fillId="10" borderId="58" xfId="0" applyFont="1" applyFill="1" applyBorder="1" applyAlignment="1" applyProtection="1">
      <protection hidden="1"/>
    </xf>
    <xf numFmtId="0" fontId="12" fillId="9" borderId="64" xfId="0" applyFont="1" applyFill="1" applyBorder="1" applyAlignment="1" applyProtection="1">
      <protection hidden="1"/>
    </xf>
    <xf numFmtId="0" fontId="6" fillId="9" borderId="105" xfId="0" applyFont="1" applyFill="1" applyBorder="1" applyAlignment="1" applyProtection="1">
      <alignment vertical="center"/>
      <protection hidden="1"/>
    </xf>
    <xf numFmtId="0" fontId="6" fillId="9" borderId="105" xfId="0" applyFont="1" applyFill="1" applyBorder="1" applyProtection="1">
      <protection hidden="1"/>
    </xf>
    <xf numFmtId="0" fontId="6" fillId="9" borderId="105" xfId="0" applyFont="1" applyFill="1" applyBorder="1" applyAlignment="1" applyProtection="1">
      <protection hidden="1"/>
    </xf>
    <xf numFmtId="0" fontId="12" fillId="5" borderId="64" xfId="0" applyFont="1" applyFill="1" applyBorder="1" applyAlignment="1" applyProtection="1">
      <alignment vertical="center"/>
      <protection hidden="1"/>
    </xf>
    <xf numFmtId="0" fontId="6" fillId="4" borderId="55" xfId="0" applyFont="1" applyFill="1" applyBorder="1" applyAlignment="1" applyProtection="1">
      <alignment horizontal="left" vertical="center" indent="1"/>
      <protection hidden="1"/>
    </xf>
    <xf numFmtId="0" fontId="7" fillId="4" borderId="10" xfId="0" applyFont="1" applyFill="1" applyBorder="1" applyAlignment="1" applyProtection="1">
      <alignment horizontal="left" vertical="center" indent="1"/>
      <protection hidden="1"/>
    </xf>
    <xf numFmtId="0" fontId="7" fillId="4" borderId="2" xfId="0" applyFont="1" applyFill="1" applyBorder="1" applyAlignment="1" applyProtection="1">
      <alignment horizontal="center" vertical="top" wrapText="1"/>
      <protection hidden="1"/>
    </xf>
    <xf numFmtId="0" fontId="7" fillId="4" borderId="0" xfId="0" applyFont="1" applyFill="1" applyBorder="1" applyAlignment="1" applyProtection="1">
      <alignment horizontal="center" vertical="center"/>
      <protection hidden="1"/>
    </xf>
    <xf numFmtId="0" fontId="7" fillId="4" borderId="21" xfId="0" applyFont="1" applyFill="1" applyBorder="1" applyAlignment="1" applyProtection="1">
      <alignment horizontal="left"/>
      <protection hidden="1"/>
    </xf>
    <xf numFmtId="0" fontId="7" fillId="4" borderId="11" xfId="0" applyFont="1" applyFill="1" applyBorder="1" applyAlignment="1" applyProtection="1">
      <alignment horizontal="center" vertical="top" wrapText="1"/>
      <protection hidden="1"/>
    </xf>
    <xf numFmtId="0" fontId="7" fillId="4" borderId="23" xfId="0" applyFont="1" applyFill="1" applyBorder="1" applyAlignment="1" applyProtection="1">
      <alignment horizontal="center" vertical="center"/>
      <protection hidden="1"/>
    </xf>
    <xf numFmtId="0" fontId="6" fillId="4" borderId="10" xfId="0" applyFont="1" applyFill="1" applyBorder="1" applyAlignment="1" applyProtection="1">
      <alignment vertical="center"/>
      <protection hidden="1"/>
    </xf>
    <xf numFmtId="0" fontId="6" fillId="4" borderId="34" xfId="0" applyFont="1" applyFill="1" applyBorder="1" applyAlignment="1" applyProtection="1">
      <alignment vertical="center"/>
      <protection hidden="1"/>
    </xf>
    <xf numFmtId="0" fontId="6" fillId="4" borderId="10" xfId="0" applyFont="1" applyFill="1" applyBorder="1" applyAlignment="1" applyProtection="1">
      <alignment horizontal="left" vertical="center" indent="1"/>
      <protection hidden="1"/>
    </xf>
    <xf numFmtId="0" fontId="6" fillId="4" borderId="39" xfId="0" applyFont="1" applyFill="1" applyBorder="1" applyAlignment="1" applyProtection="1">
      <alignment horizontal="left" vertical="center" indent="1"/>
      <protection hidden="1"/>
    </xf>
    <xf numFmtId="0" fontId="7" fillId="4" borderId="34" xfId="0" applyFont="1" applyFill="1" applyBorder="1" applyAlignment="1" applyProtection="1">
      <alignment horizontal="left" vertical="center" indent="1"/>
      <protection hidden="1"/>
    </xf>
    <xf numFmtId="0" fontId="7" fillId="4" borderId="12"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wrapText="1"/>
      <protection hidden="1"/>
    </xf>
    <xf numFmtId="0" fontId="7" fillId="4" borderId="72" xfId="0" applyFont="1" applyFill="1" applyBorder="1" applyAlignment="1" applyProtection="1">
      <alignment horizontal="center" vertical="top"/>
      <protection hidden="1"/>
    </xf>
    <xf numFmtId="0" fontId="7" fillId="4" borderId="6" xfId="0"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vertical="center"/>
      <protection hidden="1"/>
    </xf>
    <xf numFmtId="170" fontId="6" fillId="13" borderId="6" xfId="0" applyNumberFormat="1" applyFont="1" applyFill="1" applyBorder="1" applyAlignment="1" applyProtection="1">
      <alignment vertical="center"/>
      <protection hidden="1"/>
    </xf>
    <xf numFmtId="167" fontId="6" fillId="13" borderId="31" xfId="0" applyNumberFormat="1" applyFont="1" applyFill="1" applyBorder="1" applyAlignment="1" applyProtection="1">
      <alignment vertical="center"/>
      <protection hidden="1"/>
    </xf>
    <xf numFmtId="170" fontId="6" fillId="13" borderId="32" xfId="0" applyNumberFormat="1" applyFont="1" applyFill="1" applyBorder="1" applyAlignment="1" applyProtection="1">
      <alignment vertical="center"/>
      <protection hidden="1"/>
    </xf>
    <xf numFmtId="167" fontId="6" fillId="13" borderId="104" xfId="0" applyNumberFormat="1" applyFont="1" applyFill="1" applyBorder="1" applyAlignment="1" applyProtection="1">
      <alignment vertical="center"/>
      <protection hidden="1"/>
    </xf>
    <xf numFmtId="170" fontId="6" fillId="13" borderId="31" xfId="0" applyNumberFormat="1" applyFont="1" applyFill="1" applyBorder="1" applyAlignment="1" applyProtection="1">
      <alignment vertical="center"/>
      <protection hidden="1"/>
    </xf>
    <xf numFmtId="170" fontId="6" fillId="13" borderId="50" xfId="0" applyNumberFormat="1" applyFont="1" applyFill="1" applyBorder="1" applyAlignment="1" applyProtection="1">
      <alignment vertical="center"/>
      <protection hidden="1"/>
    </xf>
    <xf numFmtId="180" fontId="7" fillId="14" borderId="31" xfId="0" applyNumberFormat="1" applyFont="1" applyFill="1" applyBorder="1" applyAlignment="1" applyProtection="1">
      <alignment vertical="center"/>
      <protection hidden="1"/>
    </xf>
    <xf numFmtId="181" fontId="7" fillId="14" borderId="31" xfId="0" applyNumberFormat="1" applyFont="1" applyFill="1" applyBorder="1" applyAlignment="1" applyProtection="1">
      <alignment vertical="center"/>
      <protection hidden="1"/>
    </xf>
    <xf numFmtId="181" fontId="7" fillId="14" borderId="33" xfId="0" applyNumberFormat="1" applyFont="1" applyFill="1" applyBorder="1" applyAlignment="1" applyProtection="1">
      <alignment vertical="center"/>
      <protection hidden="1"/>
    </xf>
    <xf numFmtId="0" fontId="7" fillId="4" borderId="97" xfId="0" applyFont="1" applyFill="1" applyBorder="1" applyAlignment="1" applyProtection="1">
      <alignment horizontal="center" vertical="top" wrapText="1"/>
      <protection hidden="1"/>
    </xf>
    <xf numFmtId="170" fontId="6" fillId="13" borderId="30" xfId="0" applyNumberFormat="1" applyFont="1" applyFill="1" applyBorder="1" applyAlignment="1" applyProtection="1">
      <alignment vertical="center"/>
      <protection hidden="1"/>
    </xf>
    <xf numFmtId="180" fontId="7" fillId="9" borderId="18" xfId="0" applyNumberFormat="1" applyFont="1" applyFill="1" applyBorder="1" applyAlignment="1" applyProtection="1">
      <alignment vertical="center"/>
      <protection hidden="1"/>
    </xf>
    <xf numFmtId="180" fontId="7" fillId="9" borderId="95" xfId="0" applyNumberFormat="1" applyFont="1" applyFill="1" applyBorder="1" applyAlignment="1" applyProtection="1">
      <alignment vertical="center"/>
      <protection hidden="1"/>
    </xf>
    <xf numFmtId="180" fontId="6" fillId="9" borderId="63" xfId="0" applyNumberFormat="1" applyFont="1" applyFill="1" applyBorder="1" applyAlignment="1" applyProtection="1">
      <alignment vertical="center"/>
      <protection hidden="1"/>
    </xf>
    <xf numFmtId="180" fontId="6" fillId="0" borderId="12" xfId="0" applyNumberFormat="1" applyFont="1" applyFill="1" applyBorder="1" applyAlignment="1" applyProtection="1">
      <alignment vertical="center"/>
      <protection locked="0"/>
    </xf>
    <xf numFmtId="180" fontId="6" fillId="0" borderId="43" xfId="0" applyNumberFormat="1" applyFont="1" applyFill="1" applyBorder="1" applyAlignment="1" applyProtection="1">
      <alignment vertical="center"/>
      <protection locked="0"/>
    </xf>
    <xf numFmtId="178" fontId="6" fillId="0" borderId="7" xfId="0" applyNumberFormat="1" applyFont="1" applyFill="1" applyBorder="1" applyAlignment="1" applyProtection="1">
      <alignment vertical="center"/>
      <protection locked="0"/>
    </xf>
    <xf numFmtId="178" fontId="6" fillId="0" borderId="2" xfId="0" applyNumberFormat="1" applyFont="1" applyFill="1" applyBorder="1" applyAlignment="1" applyProtection="1">
      <alignment vertical="center"/>
      <protection locked="0"/>
    </xf>
    <xf numFmtId="178" fontId="6" fillId="0" borderId="105" xfId="0" applyNumberFormat="1" applyFont="1" applyFill="1" applyBorder="1" applyAlignment="1" applyProtection="1">
      <alignment vertical="center"/>
      <protection locked="0"/>
    </xf>
    <xf numFmtId="178" fontId="6" fillId="0" borderId="0" xfId="0" applyNumberFormat="1" applyFont="1" applyFill="1" applyBorder="1" applyAlignment="1" applyProtection="1">
      <alignment vertical="center"/>
      <protection locked="0"/>
    </xf>
    <xf numFmtId="178" fontId="6" fillId="15" borderId="7" xfId="0" applyNumberFormat="1" applyFont="1" applyFill="1" applyBorder="1" applyAlignment="1" applyProtection="1">
      <alignment vertical="center"/>
      <protection locked="0"/>
    </xf>
    <xf numFmtId="178" fontId="6" fillId="15" borderId="8" xfId="0" applyNumberFormat="1" applyFont="1" applyFill="1" applyBorder="1" applyAlignment="1" applyProtection="1">
      <alignment vertical="center"/>
      <protection locked="0"/>
    </xf>
    <xf numFmtId="178" fontId="6" fillId="15" borderId="31" xfId="0" applyNumberFormat="1" applyFont="1" applyFill="1" applyBorder="1" applyAlignment="1" applyProtection="1">
      <alignment vertical="center"/>
      <protection locked="0"/>
    </xf>
    <xf numFmtId="178" fontId="6" fillId="15" borderId="33" xfId="0" applyNumberFormat="1" applyFont="1" applyFill="1" applyBorder="1" applyAlignment="1" applyProtection="1">
      <alignment vertical="center"/>
      <protection locked="0"/>
    </xf>
    <xf numFmtId="178" fontId="6" fillId="16" borderId="11" xfId="0" applyNumberFormat="1" applyFont="1" applyFill="1" applyBorder="1" applyAlignment="1" applyProtection="1">
      <alignment vertical="center"/>
      <protection hidden="1"/>
    </xf>
    <xf numFmtId="178" fontId="6" fillId="9" borderId="94" xfId="0" applyNumberFormat="1" applyFont="1" applyFill="1" applyBorder="1" applyAlignment="1" applyProtection="1">
      <alignment vertical="center"/>
      <protection hidden="1"/>
    </xf>
    <xf numFmtId="0" fontId="6" fillId="9" borderId="0" xfId="0" quotePrefix="1" applyFont="1" applyFill="1" applyBorder="1" applyAlignment="1" applyProtection="1">
      <protection hidden="1"/>
    </xf>
    <xf numFmtId="0" fontId="14" fillId="5" borderId="105" xfId="0" applyFont="1" applyFill="1" applyBorder="1" applyAlignment="1" applyProtection="1">
      <alignment horizontal="center" vertical="center"/>
      <protection hidden="1"/>
    </xf>
    <xf numFmtId="181" fontId="7" fillId="8" borderId="18" xfId="0" applyNumberFormat="1" applyFont="1" applyFill="1" applyBorder="1" applyAlignment="1" applyProtection="1">
      <alignment vertical="center"/>
      <protection hidden="1"/>
    </xf>
    <xf numFmtId="180" fontId="7" fillId="8" borderId="26" xfId="0" applyNumberFormat="1" applyFont="1" applyFill="1" applyBorder="1" applyAlignment="1" applyProtection="1">
      <alignment vertical="center"/>
      <protection hidden="1"/>
    </xf>
    <xf numFmtId="180" fontId="7" fillId="8" borderId="43" xfId="0" applyNumberFormat="1" applyFont="1" applyFill="1" applyBorder="1" applyAlignment="1" applyProtection="1">
      <alignment vertical="center"/>
      <protection hidden="1"/>
    </xf>
    <xf numFmtId="0" fontId="6" fillId="4" borderId="2" xfId="0" applyFont="1" applyFill="1" applyBorder="1" applyAlignment="1" applyProtection="1">
      <alignment horizontal="left" indent="2"/>
      <protection hidden="1"/>
    </xf>
    <xf numFmtId="0" fontId="7" fillId="4" borderId="2" xfId="0" applyFont="1" applyFill="1" applyBorder="1" applyAlignment="1" applyProtection="1">
      <alignment vertical="center"/>
      <protection hidden="1"/>
    </xf>
    <xf numFmtId="0" fontId="7" fillId="5" borderId="2" xfId="0" quotePrefix="1" applyFont="1" applyFill="1" applyBorder="1" applyAlignment="1" applyProtection="1">
      <alignment horizontal="center" vertical="center" wrapText="1"/>
      <protection hidden="1"/>
    </xf>
    <xf numFmtId="181" fontId="7" fillId="8" borderId="2" xfId="0" applyNumberFormat="1" applyFont="1" applyFill="1" applyBorder="1" applyAlignment="1" applyProtection="1">
      <alignment vertical="center"/>
      <protection hidden="1"/>
    </xf>
    <xf numFmtId="0" fontId="7" fillId="4" borderId="12" xfId="0" applyFont="1" applyFill="1" applyBorder="1" applyAlignment="1" applyProtection="1">
      <alignment horizontal="center" vertical="center" wrapText="1"/>
      <protection hidden="1"/>
    </xf>
    <xf numFmtId="0" fontId="7" fillId="4" borderId="12" xfId="0" applyFont="1" applyFill="1" applyBorder="1" applyAlignment="1" applyProtection="1">
      <alignment horizontal="center" vertical="top" wrapText="1"/>
      <protection hidden="1"/>
    </xf>
    <xf numFmtId="0" fontId="6" fillId="4" borderId="60" xfId="0" applyFont="1" applyFill="1" applyBorder="1" applyAlignment="1" applyProtection="1">
      <protection hidden="1"/>
    </xf>
    <xf numFmtId="178" fontId="6" fillId="9" borderId="63" xfId="0" applyNumberFormat="1" applyFont="1" applyFill="1" applyBorder="1" applyAlignment="1" applyProtection="1">
      <alignment vertical="center"/>
      <protection hidden="1"/>
    </xf>
    <xf numFmtId="0" fontId="6" fillId="9" borderId="10" xfId="0" applyFont="1" applyFill="1" applyBorder="1" applyProtection="1">
      <protection hidden="1"/>
    </xf>
    <xf numFmtId="0" fontId="6" fillId="9" borderId="11" xfId="0" applyFont="1" applyFill="1" applyBorder="1" applyProtection="1">
      <protection hidden="1"/>
    </xf>
    <xf numFmtId="0" fontId="7" fillId="9" borderId="3" xfId="0" applyFont="1" applyFill="1" applyBorder="1" applyAlignment="1" applyProtection="1">
      <alignment horizontal="center" vertical="top" wrapText="1"/>
      <protection hidden="1"/>
    </xf>
    <xf numFmtId="0" fontId="7" fillId="9" borderId="45" xfId="0" applyFont="1" applyFill="1" applyBorder="1" applyAlignment="1" applyProtection="1">
      <alignment horizontal="center" vertical="top" wrapText="1"/>
      <protection hidden="1"/>
    </xf>
    <xf numFmtId="178" fontId="15" fillId="8" borderId="11" xfId="0" applyNumberFormat="1" applyFont="1" applyFill="1" applyBorder="1" applyAlignment="1" applyProtection="1">
      <alignment vertical="center"/>
      <protection hidden="1"/>
    </xf>
    <xf numFmtId="178" fontId="15" fillId="16" borderId="11" xfId="0" applyNumberFormat="1" applyFont="1" applyFill="1" applyBorder="1" applyAlignment="1" applyProtection="1">
      <alignment vertical="center"/>
      <protection hidden="1"/>
    </xf>
    <xf numFmtId="178" fontId="15" fillId="16" borderId="12" xfId="0" applyNumberFormat="1" applyFont="1" applyFill="1" applyBorder="1" applyAlignment="1" applyProtection="1">
      <alignment vertical="center"/>
      <protection hidden="1"/>
    </xf>
    <xf numFmtId="178" fontId="15" fillId="16" borderId="38" xfId="0" applyNumberFormat="1" applyFont="1" applyFill="1" applyBorder="1" applyAlignment="1" applyProtection="1">
      <alignment vertical="center"/>
      <protection hidden="1"/>
    </xf>
    <xf numFmtId="186" fontId="6" fillId="9" borderId="49" xfId="0" applyNumberFormat="1" applyFont="1" applyFill="1" applyBorder="1" applyAlignment="1" applyProtection="1">
      <alignment vertical="center"/>
      <protection hidden="1"/>
    </xf>
    <xf numFmtId="2" fontId="6" fillId="9" borderId="53" xfId="0" applyNumberFormat="1" applyFont="1" applyFill="1" applyBorder="1" applyAlignment="1" applyProtection="1">
      <alignment horizontal="center" vertical="center"/>
      <protection hidden="1"/>
    </xf>
    <xf numFmtId="172" fontId="6" fillId="9" borderId="0" xfId="4" applyNumberFormat="1" applyFont="1" applyFill="1" applyBorder="1" applyAlignment="1" applyProtection="1">
      <alignment vertical="center"/>
      <protection hidden="1"/>
    </xf>
    <xf numFmtId="0" fontId="7" fillId="9" borderId="30" xfId="0" applyFont="1" applyFill="1" applyBorder="1" applyAlignment="1" applyProtection="1">
      <alignment horizontal="center" vertical="top" wrapText="1"/>
      <protection hidden="1"/>
    </xf>
    <xf numFmtId="0" fontId="7" fillId="9" borderId="104" xfId="0" applyFont="1" applyFill="1" applyBorder="1" applyAlignment="1" applyProtection="1">
      <alignment horizontal="left" vertical="top" indent="1"/>
      <protection hidden="1"/>
    </xf>
    <xf numFmtId="172" fontId="7" fillId="9" borderId="0" xfId="4" applyNumberFormat="1" applyFont="1" applyFill="1" applyBorder="1" applyAlignment="1" applyProtection="1">
      <alignment vertical="center"/>
      <protection hidden="1"/>
    </xf>
    <xf numFmtId="0" fontId="6" fillId="9" borderId="44" xfId="0" applyNumberFormat="1" applyFont="1" applyFill="1" applyBorder="1" applyProtection="1">
      <protection hidden="1"/>
    </xf>
    <xf numFmtId="0" fontId="7" fillId="9" borderId="65" xfId="0" applyFont="1" applyFill="1" applyBorder="1" applyProtection="1">
      <protection hidden="1"/>
    </xf>
    <xf numFmtId="0" fontId="6" fillId="9" borderId="65" xfId="0" applyFont="1" applyFill="1" applyBorder="1" applyProtection="1">
      <protection hidden="1"/>
    </xf>
    <xf numFmtId="0" fontId="6" fillId="9" borderId="1" xfId="0" applyFont="1" applyFill="1" applyBorder="1" applyProtection="1">
      <protection hidden="1"/>
    </xf>
    <xf numFmtId="0" fontId="6" fillId="9" borderId="105" xfId="0" applyNumberFormat="1" applyFont="1" applyFill="1" applyBorder="1" applyProtection="1">
      <protection hidden="1"/>
    </xf>
    <xf numFmtId="172" fontId="6" fillId="9" borderId="103" xfId="4" applyNumberFormat="1" applyFont="1" applyFill="1" applyBorder="1" applyAlignment="1" applyProtection="1">
      <alignment vertical="center"/>
      <protection hidden="1"/>
    </xf>
    <xf numFmtId="172" fontId="7" fillId="9" borderId="103" xfId="4" applyNumberFormat="1" applyFont="1" applyFill="1" applyBorder="1" applyAlignment="1" applyProtection="1">
      <alignment vertical="center"/>
      <protection hidden="1"/>
    </xf>
    <xf numFmtId="0" fontId="6" fillId="9" borderId="62" xfId="0" applyNumberFormat="1" applyFont="1" applyFill="1" applyBorder="1" applyProtection="1">
      <protection hidden="1"/>
    </xf>
    <xf numFmtId="0" fontId="6" fillId="9" borderId="103" xfId="0" applyFont="1" applyFill="1" applyBorder="1" applyAlignment="1" applyProtection="1">
      <alignment horizontal="center" vertical="center"/>
      <protection hidden="1"/>
    </xf>
    <xf numFmtId="0" fontId="27" fillId="9" borderId="35" xfId="0" applyFont="1" applyFill="1" applyBorder="1" applyAlignment="1" applyProtection="1">
      <alignment horizontal="center" vertical="center"/>
      <protection hidden="1"/>
    </xf>
    <xf numFmtId="0" fontId="26" fillId="9" borderId="39" xfId="0" applyFont="1" applyFill="1" applyBorder="1" applyAlignment="1" applyProtection="1">
      <alignment horizontal="left" vertical="center" indent="1"/>
      <protection hidden="1"/>
    </xf>
    <xf numFmtId="0" fontId="26" fillId="9" borderId="32" xfId="0" applyFont="1" applyFill="1" applyBorder="1" applyAlignment="1" applyProtection="1">
      <alignment horizontal="left" vertical="center" indent="1"/>
      <protection hidden="1"/>
    </xf>
    <xf numFmtId="0" fontId="28" fillId="0" borderId="10" xfId="0" applyFont="1" applyFill="1" applyBorder="1" applyAlignment="1" applyProtection="1">
      <alignment horizontal="left" vertical="center" indent="1"/>
      <protection hidden="1"/>
    </xf>
    <xf numFmtId="0" fontId="28" fillId="0" borderId="1" xfId="0" applyFont="1" applyFill="1" applyBorder="1" applyAlignment="1" applyProtection="1">
      <alignment horizontal="left" vertical="center" indent="1"/>
      <protection hidden="1"/>
    </xf>
    <xf numFmtId="0" fontId="26" fillId="9" borderId="3" xfId="0" applyFont="1" applyFill="1" applyBorder="1" applyAlignment="1" applyProtection="1">
      <alignment horizontal="left" vertical="center" indent="1"/>
      <protection hidden="1"/>
    </xf>
    <xf numFmtId="0" fontId="26" fillId="9" borderId="1" xfId="0" applyFont="1" applyFill="1" applyBorder="1" applyAlignment="1" applyProtection="1">
      <alignment horizontal="left" vertical="center" indent="1"/>
      <protection hidden="1"/>
    </xf>
    <xf numFmtId="0" fontId="27" fillId="9" borderId="45" xfId="0" applyFont="1" applyFill="1" applyBorder="1" applyAlignment="1" applyProtection="1">
      <alignment horizontal="center" vertical="center"/>
      <protection hidden="1"/>
    </xf>
    <xf numFmtId="0" fontId="26" fillId="9" borderId="106" xfId="0" applyFont="1" applyFill="1" applyBorder="1" applyAlignment="1" applyProtection="1">
      <alignment horizontal="left" vertical="center" indent="1"/>
      <protection hidden="1"/>
    </xf>
    <xf numFmtId="0" fontId="28" fillId="9" borderId="107" xfId="0" applyFont="1" applyFill="1" applyBorder="1" applyAlignment="1" applyProtection="1">
      <alignment horizontal="left" vertical="center" indent="1"/>
      <protection hidden="1"/>
    </xf>
    <xf numFmtId="0" fontId="28" fillId="9" borderId="108" xfId="0" applyFont="1" applyFill="1" applyBorder="1" applyAlignment="1" applyProtection="1">
      <alignment horizontal="center" vertical="center"/>
      <protection hidden="1"/>
    </xf>
    <xf numFmtId="0" fontId="15" fillId="9" borderId="103" xfId="0" applyFont="1" applyFill="1" applyBorder="1" applyAlignment="1" applyProtection="1">
      <alignment horizontal="center" vertical="center"/>
      <protection hidden="1"/>
    </xf>
    <xf numFmtId="0" fontId="27" fillId="0" borderId="11" xfId="0" applyFont="1" applyFill="1" applyBorder="1" applyAlignment="1" applyProtection="1">
      <alignment horizontal="center" vertical="center"/>
      <protection hidden="1"/>
    </xf>
    <xf numFmtId="0" fontId="7" fillId="4" borderId="26" xfId="0" applyFont="1" applyFill="1" applyBorder="1" applyAlignment="1" applyProtection="1">
      <alignment horizontal="center" vertical="center" wrapText="1"/>
      <protection hidden="1"/>
    </xf>
    <xf numFmtId="0" fontId="7" fillId="2" borderId="45" xfId="0" applyFont="1" applyFill="1" applyBorder="1" applyAlignment="1" applyProtection="1">
      <alignment horizontal="center" vertical="center" wrapText="1"/>
      <protection hidden="1"/>
    </xf>
    <xf numFmtId="0" fontId="6" fillId="5" borderId="103" xfId="0" applyNumberFormat="1" applyFont="1" applyFill="1" applyBorder="1" applyAlignment="1" applyProtection="1">
      <protection hidden="1"/>
    </xf>
    <xf numFmtId="0" fontId="12" fillId="5" borderId="21" xfId="0" applyNumberFormat="1" applyFont="1" applyFill="1" applyBorder="1" applyAlignment="1" applyProtection="1">
      <protection hidden="1"/>
    </xf>
    <xf numFmtId="0" fontId="12" fillId="5" borderId="58" xfId="0" applyNumberFormat="1" applyFont="1" applyFill="1" applyBorder="1" applyAlignment="1" applyProtection="1">
      <protection hidden="1"/>
    </xf>
    <xf numFmtId="172" fontId="7" fillId="5" borderId="103" xfId="0" applyNumberFormat="1" applyFont="1" applyFill="1" applyBorder="1" applyAlignment="1" applyProtection="1">
      <alignment horizontal="center" vertical="center"/>
      <protection hidden="1"/>
    </xf>
    <xf numFmtId="172" fontId="7" fillId="5" borderId="25" xfId="0" applyNumberFormat="1" applyFont="1" applyFill="1" applyBorder="1" applyAlignment="1" applyProtection="1">
      <alignment horizontal="center" vertical="center"/>
      <protection hidden="1"/>
    </xf>
    <xf numFmtId="172" fontId="7" fillId="5" borderId="5" xfId="0" applyNumberFormat="1" applyFont="1" applyFill="1" applyBorder="1" applyAlignment="1" applyProtection="1">
      <alignment horizontal="left" vertical="center" indent="1"/>
      <protection hidden="1"/>
    </xf>
    <xf numFmtId="178" fontId="7" fillId="5" borderId="4" xfId="0" applyNumberFormat="1" applyFont="1" applyFill="1" applyBorder="1" applyAlignment="1" applyProtection="1">
      <alignment vertical="center"/>
      <protection hidden="1"/>
    </xf>
    <xf numFmtId="0" fontId="7" fillId="5" borderId="3" xfId="0" applyNumberFormat="1" applyFont="1" applyFill="1" applyBorder="1" applyAlignment="1" applyProtection="1">
      <alignment horizontal="left" vertical="center" indent="1"/>
      <protection hidden="1"/>
    </xf>
    <xf numFmtId="0" fontId="7" fillId="9" borderId="39" xfId="5" applyNumberFormat="1" applyFont="1" applyFill="1" applyBorder="1" applyAlignment="1" applyProtection="1">
      <alignment horizontal="left" vertical="center" indent="1"/>
      <protection hidden="1"/>
    </xf>
    <xf numFmtId="0" fontId="7" fillId="5" borderId="34" xfId="0" applyNumberFormat="1" applyFont="1" applyFill="1" applyBorder="1" applyAlignment="1" applyProtection="1">
      <alignment horizontal="left" vertical="center" indent="1"/>
      <protection hidden="1"/>
    </xf>
    <xf numFmtId="172" fontId="7" fillId="5" borderId="31" xfId="0" applyNumberFormat="1" applyFont="1" applyFill="1" applyBorder="1" applyAlignment="1" applyProtection="1">
      <alignment horizontal="left" vertical="center" indent="1"/>
      <protection hidden="1"/>
    </xf>
    <xf numFmtId="178" fontId="6" fillId="0" borderId="33" xfId="0" applyNumberFormat="1" applyFont="1" applyFill="1" applyBorder="1" applyAlignment="1" applyProtection="1">
      <alignment vertical="center"/>
      <protection locked="0"/>
    </xf>
    <xf numFmtId="172" fontId="7" fillId="5" borderId="13" xfId="0" applyNumberFormat="1" applyFont="1" applyFill="1" applyBorder="1" applyAlignment="1" applyProtection="1">
      <alignment horizontal="left" vertical="center" indent="1"/>
      <protection hidden="1"/>
    </xf>
    <xf numFmtId="0" fontId="7" fillId="0" borderId="105" xfId="0" applyFont="1" applyFill="1" applyBorder="1" applyAlignment="1" applyProtection="1">
      <alignment vertical="top" wrapText="1"/>
      <protection hidden="1"/>
    </xf>
    <xf numFmtId="0" fontId="6" fillId="0" borderId="97" xfId="0" applyFont="1" applyFill="1" applyBorder="1" applyAlignment="1" applyProtection="1">
      <alignment horizontal="left" vertical="center" wrapText="1" indent="2"/>
      <protection locked="0"/>
    </xf>
    <xf numFmtId="0" fontId="7" fillId="9" borderId="43" xfId="5" applyFont="1" applyFill="1" applyBorder="1" applyAlignment="1" applyProtection="1">
      <alignment horizontal="left" vertical="center" indent="1"/>
      <protection hidden="1"/>
    </xf>
    <xf numFmtId="0" fontId="7" fillId="0" borderId="105" xfId="0" applyFont="1" applyFill="1" applyBorder="1" applyAlignment="1" applyProtection="1">
      <alignment vertical="center" wrapText="1"/>
      <protection hidden="1"/>
    </xf>
    <xf numFmtId="0" fontId="7" fillId="5" borderId="12" xfId="0" applyFont="1" applyFill="1" applyBorder="1" applyAlignment="1" applyProtection="1">
      <protection hidden="1"/>
    </xf>
    <xf numFmtId="0" fontId="6" fillId="9" borderId="103" xfId="0" applyNumberFormat="1" applyFont="1" applyFill="1" applyBorder="1" applyAlignment="1" applyProtection="1">
      <protection hidden="1"/>
    </xf>
    <xf numFmtId="172" fontId="7" fillId="5" borderId="12" xfId="0" applyNumberFormat="1" applyFont="1" applyFill="1" applyBorder="1" applyAlignment="1" applyProtection="1">
      <alignment horizontal="center" vertical="center"/>
      <protection hidden="1"/>
    </xf>
    <xf numFmtId="178" fontId="5" fillId="0" borderId="12" xfId="0" applyNumberFormat="1" applyFont="1" applyFill="1" applyBorder="1" applyAlignment="1" applyProtection="1">
      <alignment vertical="center"/>
      <protection locked="0"/>
    </xf>
    <xf numFmtId="178" fontId="5" fillId="0" borderId="43" xfId="0" applyNumberFormat="1" applyFont="1" applyFill="1" applyBorder="1" applyAlignment="1" applyProtection="1">
      <alignment vertical="center"/>
      <protection locked="0"/>
    </xf>
    <xf numFmtId="180" fontId="17" fillId="5" borderId="26" xfId="0" applyNumberFormat="1" applyFont="1" applyFill="1" applyBorder="1" applyAlignment="1" applyProtection="1">
      <alignment vertical="center"/>
      <protection hidden="1"/>
    </xf>
    <xf numFmtId="178" fontId="7" fillId="5" borderId="43" xfId="0" applyNumberFormat="1" applyFont="1" applyFill="1" applyBorder="1" applyAlignment="1" applyProtection="1">
      <alignment vertical="center"/>
      <protection hidden="1"/>
    </xf>
    <xf numFmtId="0" fontId="6" fillId="9" borderId="103" xfId="0" applyFont="1" applyFill="1" applyBorder="1" applyAlignment="1" applyProtection="1">
      <protection hidden="1"/>
    </xf>
    <xf numFmtId="0" fontId="6" fillId="9" borderId="103" xfId="0" quotePrefix="1" applyNumberFormat="1" applyFont="1" applyFill="1" applyBorder="1" applyAlignment="1" applyProtection="1">
      <protection hidden="1"/>
    </xf>
    <xf numFmtId="0" fontId="5" fillId="5" borderId="103" xfId="0" applyNumberFormat="1" applyFont="1" applyFill="1" applyBorder="1" applyAlignment="1" applyProtection="1">
      <protection hidden="1"/>
    </xf>
    <xf numFmtId="0" fontId="6" fillId="9" borderId="0" xfId="0" applyNumberFormat="1" applyFont="1" applyFill="1" applyBorder="1" applyAlignment="1" applyProtection="1">
      <alignment vertical="center"/>
      <protection hidden="1"/>
    </xf>
    <xf numFmtId="0" fontId="15" fillId="9" borderId="0" xfId="0" applyFont="1" applyFill="1" applyBorder="1" applyAlignment="1" applyProtection="1">
      <alignment horizontal="center" vertical="center"/>
      <protection hidden="1"/>
    </xf>
    <xf numFmtId="0" fontId="29" fillId="9" borderId="0" xfId="0" applyNumberFormat="1" applyFont="1" applyFill="1" applyBorder="1" applyAlignment="1" applyProtection="1">
      <alignment horizontal="center" vertical="center"/>
      <protection hidden="1"/>
    </xf>
    <xf numFmtId="0" fontId="14" fillId="10" borderId="103" xfId="0" applyFont="1" applyFill="1" applyBorder="1" applyAlignment="1" applyProtection="1">
      <alignment horizontal="center" vertical="center"/>
      <protection hidden="1"/>
    </xf>
    <xf numFmtId="172" fontId="7" fillId="5" borderId="26" xfId="0" applyNumberFormat="1" applyFont="1" applyFill="1" applyBorder="1" applyAlignment="1" applyProtection="1">
      <alignment horizontal="center" vertical="center" wrapText="1"/>
      <protection hidden="1"/>
    </xf>
    <xf numFmtId="0" fontId="7" fillId="5" borderId="12" xfId="0" applyFont="1" applyFill="1" applyBorder="1" applyAlignment="1" applyProtection="1">
      <alignment horizontal="left" vertical="top" indent="1"/>
      <protection hidden="1"/>
    </xf>
    <xf numFmtId="172" fontId="7" fillId="5" borderId="25" xfId="0" applyNumberFormat="1" applyFont="1" applyFill="1" applyBorder="1" applyAlignment="1" applyProtection="1">
      <alignment horizontal="center" vertical="center" wrapText="1"/>
      <protection hidden="1"/>
    </xf>
    <xf numFmtId="0" fontId="7" fillId="5" borderId="10" xfId="0" applyFont="1" applyFill="1" applyBorder="1" applyAlignment="1" applyProtection="1">
      <alignment horizontal="left" vertical="top" indent="1"/>
      <protection hidden="1"/>
    </xf>
    <xf numFmtId="0" fontId="6" fillId="5" borderId="103" xfId="0" applyFont="1" applyFill="1" applyBorder="1" applyProtection="1">
      <protection hidden="1"/>
    </xf>
    <xf numFmtId="172" fontId="7" fillId="5" borderId="0" xfId="0" quotePrefix="1" applyNumberFormat="1" applyFont="1" applyFill="1" applyBorder="1" applyAlignment="1" applyProtection="1">
      <alignment horizontal="center" vertical="center"/>
      <protection hidden="1"/>
    </xf>
    <xf numFmtId="180" fontId="17" fillId="5" borderId="0" xfId="0" applyNumberFormat="1" applyFont="1" applyFill="1" applyBorder="1" applyAlignment="1" applyProtection="1">
      <alignment vertical="top"/>
      <protection hidden="1"/>
    </xf>
    <xf numFmtId="0" fontId="6" fillId="9" borderId="41" xfId="0" applyFont="1" applyFill="1" applyBorder="1" applyProtection="1">
      <protection hidden="1"/>
    </xf>
    <xf numFmtId="165" fontId="19" fillId="5" borderId="10" xfId="0" applyNumberFormat="1" applyFont="1" applyFill="1" applyBorder="1" applyAlignment="1" applyProtection="1">
      <protection hidden="1"/>
    </xf>
    <xf numFmtId="0" fontId="6" fillId="5" borderId="0" xfId="0" quotePrefix="1" applyNumberFormat="1" applyFont="1" applyFill="1" applyBorder="1" applyAlignment="1" applyProtection="1">
      <protection hidden="1"/>
    </xf>
    <xf numFmtId="0" fontId="7" fillId="9" borderId="36" xfId="5" applyFont="1" applyFill="1" applyBorder="1" applyAlignment="1" applyProtection="1">
      <alignment horizontal="left" vertical="center" indent="1"/>
      <protection hidden="1"/>
    </xf>
    <xf numFmtId="0" fontId="6" fillId="9" borderId="78" xfId="0" applyFont="1" applyFill="1" applyBorder="1" applyProtection="1">
      <protection hidden="1"/>
    </xf>
    <xf numFmtId="0" fontId="6" fillId="9" borderId="52" xfId="0" applyFont="1" applyFill="1" applyBorder="1" applyProtection="1">
      <protection hidden="1"/>
    </xf>
    <xf numFmtId="0" fontId="6" fillId="5" borderId="24" xfId="0" applyFont="1" applyFill="1" applyBorder="1" applyAlignment="1" applyProtection="1">
      <alignment vertical="center"/>
      <protection hidden="1"/>
    </xf>
    <xf numFmtId="172" fontId="7" fillId="5" borderId="31" xfId="0" applyNumberFormat="1" applyFont="1" applyFill="1" applyBorder="1" applyAlignment="1" applyProtection="1">
      <alignment horizontal="center" vertical="top" wrapText="1"/>
      <protection hidden="1"/>
    </xf>
    <xf numFmtId="184" fontId="7" fillId="9" borderId="49" xfId="0" applyNumberFormat="1" applyFont="1" applyFill="1" applyBorder="1" applyAlignment="1" applyProtection="1">
      <alignment vertical="center"/>
      <protection hidden="1"/>
    </xf>
    <xf numFmtId="172" fontId="6" fillId="5" borderId="109" xfId="0" applyNumberFormat="1" applyFont="1" applyFill="1" applyBorder="1" applyProtection="1">
      <protection hidden="1"/>
    </xf>
    <xf numFmtId="0" fontId="6" fillId="5" borderId="109" xfId="0" applyFont="1" applyFill="1" applyBorder="1" applyProtection="1">
      <protection hidden="1"/>
    </xf>
    <xf numFmtId="0" fontId="6" fillId="5" borderId="110" xfId="0" applyFont="1" applyFill="1" applyBorder="1" applyProtection="1">
      <protection hidden="1"/>
    </xf>
    <xf numFmtId="172" fontId="6" fillId="5" borderId="0" xfId="0" applyNumberFormat="1" applyFont="1" applyFill="1" applyBorder="1" applyProtection="1">
      <protection hidden="1"/>
    </xf>
    <xf numFmtId="0" fontId="18" fillId="5" borderId="103" xfId="0" applyFont="1" applyFill="1" applyBorder="1" applyAlignment="1" applyProtection="1">
      <protection hidden="1"/>
    </xf>
    <xf numFmtId="0" fontId="6" fillId="9" borderId="105" xfId="0" applyFont="1" applyFill="1" applyBorder="1" applyAlignment="1" applyProtection="1">
      <alignment vertical="top"/>
      <protection hidden="1"/>
    </xf>
    <xf numFmtId="172" fontId="6" fillId="5" borderId="103" xfId="0" quotePrefix="1" applyNumberFormat="1" applyFont="1" applyFill="1" applyBorder="1" applyAlignment="1" applyProtection="1">
      <alignment horizontal="center" vertical="center"/>
      <protection hidden="1"/>
    </xf>
    <xf numFmtId="172" fontId="6" fillId="5" borderId="103" xfId="0" applyNumberFormat="1" applyFont="1" applyFill="1" applyBorder="1" applyAlignment="1" applyProtection="1">
      <alignment vertical="center"/>
      <protection hidden="1"/>
    </xf>
    <xf numFmtId="0" fontId="18" fillId="9" borderId="103" xfId="0" applyFont="1" applyFill="1" applyBorder="1" applyAlignment="1" applyProtection="1">
      <protection hidden="1"/>
    </xf>
    <xf numFmtId="0" fontId="7" fillId="5" borderId="105" xfId="0" applyFont="1" applyFill="1" applyBorder="1" applyAlignment="1" applyProtection="1">
      <alignment horizontal="center" vertical="center"/>
      <protection hidden="1"/>
    </xf>
    <xf numFmtId="172" fontId="7" fillId="5" borderId="105" xfId="0" applyNumberFormat="1" applyFont="1" applyFill="1" applyBorder="1" applyAlignment="1" applyProtection="1">
      <alignment horizontal="center" vertical="center"/>
      <protection hidden="1"/>
    </xf>
    <xf numFmtId="164" fontId="6" fillId="5" borderId="111" xfId="0" applyNumberFormat="1" applyFont="1" applyFill="1" applyBorder="1" applyAlignment="1" applyProtection="1">
      <alignment vertical="center"/>
      <protection hidden="1"/>
    </xf>
    <xf numFmtId="0" fontId="6" fillId="5" borderId="111" xfId="0" applyFont="1" applyFill="1" applyBorder="1" applyAlignment="1" applyProtection="1">
      <alignment vertical="center"/>
      <protection hidden="1"/>
    </xf>
    <xf numFmtId="0" fontId="18" fillId="5" borderId="112" xfId="0" applyFont="1" applyFill="1" applyBorder="1" applyAlignment="1" applyProtection="1">
      <protection hidden="1"/>
    </xf>
    <xf numFmtId="0" fontId="6" fillId="9" borderId="58" xfId="0" applyFont="1" applyFill="1" applyBorder="1" applyAlignment="1" applyProtection="1">
      <alignment horizontal="center"/>
      <protection hidden="1"/>
    </xf>
    <xf numFmtId="0" fontId="7" fillId="4" borderId="24" xfId="0" applyFont="1" applyFill="1" applyBorder="1" applyAlignment="1" applyProtection="1">
      <alignment horizontal="left" vertical="center" indent="1"/>
      <protection hidden="1"/>
    </xf>
    <xf numFmtId="0" fontId="7" fillId="3" borderId="10" xfId="0" applyFont="1" applyFill="1" applyBorder="1" applyAlignment="1" applyProtection="1">
      <alignment horizontal="left" vertical="center" indent="1"/>
      <protection hidden="1"/>
    </xf>
    <xf numFmtId="0" fontId="7" fillId="3" borderId="10" xfId="0" applyFont="1" applyFill="1" applyBorder="1" applyAlignment="1" applyProtection="1">
      <alignment horizontal="left" vertical="center" indent="2"/>
      <protection hidden="1"/>
    </xf>
    <xf numFmtId="0" fontId="6" fillId="3" borderId="10" xfId="0" applyFont="1" applyFill="1" applyBorder="1" applyAlignment="1" applyProtection="1">
      <alignment horizontal="left" vertical="center" indent="3"/>
      <protection hidden="1"/>
    </xf>
    <xf numFmtId="0" fontId="7" fillId="3" borderId="10" xfId="0" applyFont="1" applyFill="1" applyBorder="1" applyAlignment="1" applyProtection="1">
      <alignment horizontal="left" vertical="center" indent="3"/>
      <protection hidden="1"/>
    </xf>
    <xf numFmtId="0" fontId="7" fillId="3" borderId="34" xfId="0" applyFont="1" applyFill="1" applyBorder="1" applyAlignment="1" applyProtection="1">
      <alignment horizontal="left" vertical="center" indent="1"/>
      <protection hidden="1"/>
    </xf>
    <xf numFmtId="0" fontId="7" fillId="10" borderId="21" xfId="0" applyFont="1" applyFill="1" applyBorder="1" applyAlignment="1" applyProtection="1">
      <alignment horizontal="left" vertical="center" indent="1"/>
      <protection hidden="1"/>
    </xf>
    <xf numFmtId="0" fontId="6" fillId="10" borderId="10" xfId="0" applyFont="1" applyFill="1" applyBorder="1" applyAlignment="1" applyProtection="1">
      <alignment horizontal="left" vertical="center" indent="2"/>
      <protection hidden="1"/>
    </xf>
    <xf numFmtId="0" fontId="7" fillId="9" borderId="34" xfId="0" applyFont="1" applyFill="1" applyBorder="1" applyAlignment="1" applyProtection="1">
      <alignment horizontal="left" vertical="center" indent="2"/>
      <protection hidden="1"/>
    </xf>
    <xf numFmtId="0" fontId="7" fillId="9" borderId="46" xfId="0" applyFont="1" applyFill="1" applyBorder="1" applyAlignment="1" applyProtection="1">
      <alignment horizontal="left" vertical="center" indent="1"/>
      <protection hidden="1"/>
    </xf>
    <xf numFmtId="180" fontId="7" fillId="2" borderId="50" xfId="0" applyNumberFormat="1" applyFont="1" applyFill="1" applyBorder="1" applyAlignment="1" applyProtection="1">
      <alignment vertical="center"/>
      <protection hidden="1"/>
    </xf>
    <xf numFmtId="180" fontId="7" fillId="2" borderId="94" xfId="0" applyNumberFormat="1" applyFont="1" applyFill="1" applyBorder="1" applyAlignment="1" applyProtection="1">
      <alignment vertical="center"/>
      <protection hidden="1"/>
    </xf>
    <xf numFmtId="170" fontId="6" fillId="9" borderId="41" xfId="0" applyNumberFormat="1" applyFont="1" applyFill="1" applyBorder="1" applyAlignment="1" applyProtection="1">
      <alignment horizontal="left" vertical="center"/>
      <protection hidden="1"/>
    </xf>
    <xf numFmtId="180" fontId="7" fillId="2" borderId="73" xfId="0" applyNumberFormat="1" applyFont="1" applyFill="1" applyBorder="1" applyAlignment="1" applyProtection="1">
      <alignment vertical="center"/>
      <protection hidden="1"/>
    </xf>
    <xf numFmtId="180" fontId="7" fillId="9" borderId="56" xfId="0" applyNumberFormat="1" applyFont="1" applyFill="1" applyBorder="1" applyAlignment="1" applyProtection="1">
      <alignment vertical="center"/>
      <protection hidden="1"/>
    </xf>
    <xf numFmtId="0" fontId="7" fillId="3" borderId="26" xfId="0" applyFont="1" applyFill="1" applyBorder="1" applyAlignment="1" applyProtection="1">
      <alignment horizontal="center" vertical="top"/>
      <protection hidden="1"/>
    </xf>
    <xf numFmtId="0" fontId="6" fillId="3" borderId="12" xfId="0" applyFont="1" applyFill="1" applyBorder="1" applyProtection="1">
      <protection hidden="1"/>
    </xf>
    <xf numFmtId="178" fontId="6" fillId="0" borderId="43" xfId="0" applyNumberFormat="1" applyFont="1" applyFill="1" applyBorder="1" applyAlignment="1" applyProtection="1">
      <alignment vertical="center"/>
      <protection locked="0"/>
    </xf>
    <xf numFmtId="169" fontId="6" fillId="0" borderId="12" xfId="0" applyNumberFormat="1" applyFont="1" applyFill="1" applyBorder="1" applyAlignment="1" applyProtection="1">
      <alignment horizontal="center" vertical="center"/>
      <protection locked="0"/>
    </xf>
    <xf numFmtId="178" fontId="6" fillId="0" borderId="97" xfId="0" applyNumberFormat="1" applyFont="1" applyFill="1" applyBorder="1" applyAlignment="1" applyProtection="1">
      <alignment vertical="center"/>
      <protection locked="0"/>
    </xf>
    <xf numFmtId="180" fontId="7" fillId="2" borderId="43" xfId="0" applyNumberFormat="1" applyFont="1" applyFill="1" applyBorder="1" applyAlignment="1" applyProtection="1">
      <alignment vertical="center"/>
      <protection hidden="1"/>
    </xf>
    <xf numFmtId="169" fontId="6" fillId="3" borderId="12" xfId="0" applyNumberFormat="1" applyFont="1" applyFill="1" applyBorder="1" applyAlignment="1" applyProtection="1">
      <alignment horizontal="center" vertical="center"/>
      <protection hidden="1"/>
    </xf>
    <xf numFmtId="170" fontId="6" fillId="2" borderId="12" xfId="0" applyNumberFormat="1" applyFont="1" applyFill="1" applyBorder="1" applyAlignment="1" applyProtection="1">
      <alignment vertical="center"/>
      <protection hidden="1"/>
    </xf>
    <xf numFmtId="170" fontId="6" fillId="2" borderId="97" xfId="0" applyNumberFormat="1" applyFont="1" applyFill="1" applyBorder="1" applyAlignment="1" applyProtection="1">
      <alignment vertical="center"/>
      <protection hidden="1"/>
    </xf>
    <xf numFmtId="180" fontId="7" fillId="2" borderId="95" xfId="0" applyNumberFormat="1" applyFont="1" applyFill="1" applyBorder="1" applyAlignment="1" applyProtection="1">
      <alignment vertical="center"/>
      <protection hidden="1"/>
    </xf>
    <xf numFmtId="170" fontId="6" fillId="9" borderId="26" xfId="0" applyNumberFormat="1" applyFont="1" applyFill="1" applyBorder="1" applyAlignment="1" applyProtection="1">
      <alignment horizontal="left" vertical="center"/>
      <protection hidden="1"/>
    </xf>
    <xf numFmtId="180" fontId="7" fillId="2" borderId="18" xfId="0" applyNumberFormat="1" applyFont="1" applyFill="1" applyBorder="1" applyAlignment="1" applyProtection="1">
      <alignment vertical="center"/>
      <protection hidden="1"/>
    </xf>
    <xf numFmtId="180" fontId="7" fillId="9" borderId="59" xfId="0" applyNumberFormat="1" applyFont="1" applyFill="1" applyBorder="1" applyAlignment="1" applyProtection="1">
      <alignment vertical="center"/>
      <protection hidden="1"/>
    </xf>
    <xf numFmtId="0" fontId="6" fillId="3" borderId="21" xfId="0" applyFont="1" applyFill="1" applyBorder="1" applyAlignment="1" applyProtection="1">
      <protection hidden="1"/>
    </xf>
    <xf numFmtId="0" fontId="7" fillId="3" borderId="10" xfId="0" applyFont="1" applyFill="1" applyBorder="1" applyProtection="1">
      <protection hidden="1"/>
    </xf>
    <xf numFmtId="0" fontId="6" fillId="3" borderId="10" xfId="0" applyFont="1" applyFill="1" applyBorder="1" applyProtection="1">
      <protection hidden="1"/>
    </xf>
    <xf numFmtId="0" fontId="6" fillId="3" borderId="34" xfId="0" applyFont="1" applyFill="1" applyBorder="1" applyProtection="1">
      <protection hidden="1"/>
    </xf>
    <xf numFmtId="0" fontId="7" fillId="3" borderId="1" xfId="0" applyFont="1" applyFill="1" applyBorder="1" applyAlignment="1" applyProtection="1">
      <alignment horizontal="center" vertical="center"/>
      <protection hidden="1"/>
    </xf>
    <xf numFmtId="0" fontId="7" fillId="3" borderId="103" xfId="0" applyFont="1" applyFill="1" applyBorder="1" applyAlignment="1" applyProtection="1">
      <alignment horizontal="center" vertical="center"/>
      <protection hidden="1"/>
    </xf>
    <xf numFmtId="0" fontId="7" fillId="3" borderId="103" xfId="0" applyFont="1" applyFill="1" applyBorder="1" applyAlignment="1" applyProtection="1">
      <alignment horizontal="center" vertical="top"/>
      <protection hidden="1"/>
    </xf>
    <xf numFmtId="0" fontId="7" fillId="3" borderId="12" xfId="0" applyFont="1" applyFill="1" applyBorder="1" applyAlignment="1" applyProtection="1">
      <alignment horizontal="center" vertical="center"/>
      <protection hidden="1"/>
    </xf>
    <xf numFmtId="0" fontId="7" fillId="3" borderId="12" xfId="0" applyFont="1" applyFill="1" applyBorder="1" applyAlignment="1" applyProtection="1">
      <alignment horizontal="center" vertical="top"/>
      <protection hidden="1"/>
    </xf>
    <xf numFmtId="0" fontId="7" fillId="4" borderId="25" xfId="0" applyFont="1" applyFill="1" applyBorder="1" applyAlignment="1" applyProtection="1">
      <alignment horizontal="center" vertical="center" wrapText="1"/>
      <protection hidden="1"/>
    </xf>
    <xf numFmtId="185" fontId="6" fillId="0" borderId="8" xfId="0" applyNumberFormat="1" applyFont="1" applyFill="1" applyBorder="1" applyAlignment="1" applyProtection="1">
      <alignment vertical="center"/>
      <protection locked="0"/>
    </xf>
    <xf numFmtId="182" fontId="6" fillId="9" borderId="25" xfId="0" applyNumberFormat="1" applyFont="1" applyFill="1" applyBorder="1" applyAlignment="1" applyProtection="1">
      <alignment vertical="center"/>
      <protection hidden="1"/>
    </xf>
    <xf numFmtId="185" fontId="6" fillId="0" borderId="33" xfId="0" applyNumberFormat="1" applyFont="1" applyFill="1" applyBorder="1" applyAlignment="1" applyProtection="1">
      <alignment vertical="center"/>
      <protection locked="0"/>
    </xf>
    <xf numFmtId="179" fontId="7" fillId="4" borderId="16" xfId="0" applyNumberFormat="1" applyFont="1" applyFill="1" applyBorder="1" applyAlignment="1" applyProtection="1">
      <alignment vertical="center"/>
      <protection hidden="1"/>
    </xf>
    <xf numFmtId="0" fontId="6" fillId="5" borderId="0" xfId="12" quotePrefix="1" applyFont="1" applyFill="1" applyBorder="1" applyProtection="1">
      <protection hidden="1"/>
    </xf>
    <xf numFmtId="0" fontId="6" fillId="5" borderId="0" xfId="12" applyFont="1" applyFill="1" applyBorder="1" applyProtection="1">
      <protection hidden="1"/>
    </xf>
    <xf numFmtId="0" fontId="6" fillId="5" borderId="111" xfId="12" applyFont="1" applyFill="1" applyBorder="1" applyProtection="1">
      <protection hidden="1"/>
    </xf>
    <xf numFmtId="0" fontId="10" fillId="0" borderId="0" xfId="0" applyFont="1" applyAlignment="1" applyProtection="1">
      <alignment vertical="center"/>
      <protection hidden="1"/>
    </xf>
    <xf numFmtId="0" fontId="9" fillId="0" borderId="0" xfId="0" applyFont="1" applyProtection="1">
      <protection hidden="1"/>
    </xf>
    <xf numFmtId="0" fontId="10" fillId="0" borderId="0" xfId="0" applyFont="1" applyAlignment="1" applyProtection="1">
      <alignment horizontal="left" vertical="center" indent="1"/>
      <protection hidden="1"/>
    </xf>
    <xf numFmtId="0" fontId="10" fillId="0" borderId="0" xfId="0" applyFont="1" applyProtection="1">
      <protection hidden="1"/>
    </xf>
    <xf numFmtId="0" fontId="10" fillId="0" borderId="0" xfId="0" applyFont="1" applyAlignment="1" applyProtection="1">
      <alignment horizontal="center"/>
      <protection hidden="1"/>
    </xf>
    <xf numFmtId="0" fontId="9" fillId="0" borderId="0" xfId="0" applyFont="1" applyAlignment="1" applyProtection="1">
      <alignment horizontal="center"/>
      <protection hidden="1"/>
    </xf>
    <xf numFmtId="0" fontId="9" fillId="0" borderId="21" xfId="0" applyFont="1" applyBorder="1" applyProtection="1">
      <protection hidden="1"/>
    </xf>
    <xf numFmtId="0" fontId="9" fillId="0" borderId="23" xfId="0" applyFont="1" applyBorder="1" applyProtection="1">
      <protection hidden="1"/>
    </xf>
    <xf numFmtId="0" fontId="10" fillId="0" borderId="12" xfId="0" applyFont="1" applyBorder="1" applyAlignment="1" applyProtection="1">
      <alignment horizontal="left" vertical="center" indent="1"/>
      <protection hidden="1"/>
    </xf>
    <xf numFmtId="0" fontId="10" fillId="0" borderId="11" xfId="0" applyFont="1" applyBorder="1" applyAlignment="1" applyProtection="1">
      <alignment horizontal="left" vertical="center" indent="1"/>
      <protection hidden="1"/>
    </xf>
    <xf numFmtId="0" fontId="7" fillId="0" borderId="10" xfId="5" applyNumberFormat="1" applyFont="1" applyFill="1" applyBorder="1" applyAlignment="1" applyProtection="1">
      <alignment horizontal="center" vertical="top" wrapText="1"/>
      <protection hidden="1"/>
    </xf>
    <xf numFmtId="0" fontId="7" fillId="0" borderId="7" xfId="0" applyNumberFormat="1" applyFont="1" applyFill="1" applyBorder="1" applyAlignment="1" applyProtection="1">
      <alignment horizontal="center" vertical="top" wrapText="1"/>
      <protection hidden="1"/>
    </xf>
    <xf numFmtId="0" fontId="10" fillId="0" borderId="0" xfId="0" applyFont="1" applyBorder="1" applyAlignment="1" applyProtection="1">
      <alignment horizontal="center" vertical="top"/>
      <protection hidden="1"/>
    </xf>
    <xf numFmtId="175" fontId="7" fillId="0" borderId="9" xfId="5" applyNumberFormat="1" applyFont="1" applyFill="1" applyBorder="1" applyAlignment="1" applyProtection="1">
      <alignment horizontal="center" vertical="top" wrapText="1"/>
      <protection hidden="1"/>
    </xf>
    <xf numFmtId="0" fontId="7" fillId="0" borderId="7" xfId="5" applyFont="1" applyFill="1" applyBorder="1" applyAlignment="1" applyProtection="1">
      <alignment horizontal="center" vertical="top" wrapText="1"/>
      <protection hidden="1"/>
    </xf>
    <xf numFmtId="0" fontId="7" fillId="0" borderId="9" xfId="5" applyFont="1" applyFill="1" applyBorder="1" applyAlignment="1" applyProtection="1">
      <alignment horizontal="center" vertical="top" wrapText="1"/>
      <protection hidden="1"/>
    </xf>
    <xf numFmtId="0" fontId="10" fillId="0" borderId="2" xfId="0" applyFont="1" applyBorder="1" applyAlignment="1" applyProtection="1">
      <alignment horizontal="center" vertical="top"/>
      <protection hidden="1"/>
    </xf>
    <xf numFmtId="175" fontId="7" fillId="0" borderId="7" xfId="5" applyNumberFormat="1" applyFont="1" applyFill="1" applyBorder="1" applyAlignment="1" applyProtection="1">
      <alignment horizontal="center" vertical="top" wrapText="1"/>
      <protection hidden="1"/>
    </xf>
    <xf numFmtId="175" fontId="7" fillId="0" borderId="0" xfId="5" applyNumberFormat="1" applyFont="1" applyFill="1" applyBorder="1" applyAlignment="1" applyProtection="1">
      <alignment horizontal="center" vertical="top" wrapText="1"/>
      <protection hidden="1"/>
    </xf>
    <xf numFmtId="175" fontId="7" fillId="0" borderId="6" xfId="5" applyNumberFormat="1" applyFont="1" applyFill="1" applyBorder="1" applyAlignment="1" applyProtection="1">
      <alignment horizontal="center" vertical="top" wrapText="1"/>
      <protection hidden="1"/>
    </xf>
    <xf numFmtId="175" fontId="7" fillId="0" borderId="4" xfId="5" applyNumberFormat="1" applyFont="1" applyFill="1" applyBorder="1" applyAlignment="1" applyProtection="1">
      <alignment horizontal="center" vertical="top" wrapText="1"/>
      <protection hidden="1"/>
    </xf>
    <xf numFmtId="0" fontId="10" fillId="0" borderId="2" xfId="0" applyNumberFormat="1" applyFont="1" applyFill="1" applyBorder="1" applyAlignment="1" applyProtection="1">
      <alignment horizontal="center" vertical="top" wrapText="1"/>
      <protection hidden="1"/>
    </xf>
    <xf numFmtId="0" fontId="10" fillId="0" borderId="7" xfId="0" applyNumberFormat="1" applyFont="1" applyFill="1" applyBorder="1" applyAlignment="1" applyProtection="1">
      <alignment horizontal="center" vertical="top" wrapText="1"/>
      <protection hidden="1"/>
    </xf>
    <xf numFmtId="0" fontId="10" fillId="0" borderId="5" xfId="0" applyNumberFormat="1" applyFont="1" applyFill="1" applyBorder="1" applyAlignment="1" applyProtection="1">
      <alignment horizontal="center" vertical="top" wrapText="1"/>
      <protection hidden="1"/>
    </xf>
    <xf numFmtId="0" fontId="10" fillId="0" borderId="9" xfId="0" applyNumberFormat="1" applyFont="1" applyFill="1" applyBorder="1" applyAlignment="1" applyProtection="1">
      <alignment horizontal="center" vertical="top" wrapText="1"/>
      <protection hidden="1"/>
    </xf>
    <xf numFmtId="0" fontId="10" fillId="0" borderId="4" xfId="0" applyFont="1" applyBorder="1" applyAlignment="1" applyProtection="1">
      <alignment horizontal="left" vertical="top" indent="1"/>
      <protection hidden="1"/>
    </xf>
    <xf numFmtId="0" fontId="7" fillId="0" borderId="10" xfId="0" applyNumberFormat="1" applyFont="1" applyFill="1" applyBorder="1" applyAlignment="1" applyProtection="1">
      <alignment horizontal="center" vertical="center"/>
      <protection hidden="1"/>
    </xf>
    <xf numFmtId="0" fontId="7" fillId="0" borderId="7" xfId="0" applyNumberFormat="1" applyFont="1" applyFill="1" applyBorder="1" applyAlignment="1" applyProtection="1">
      <alignment horizontal="center" vertical="center"/>
      <protection hidden="1"/>
    </xf>
    <xf numFmtId="0" fontId="7" fillId="0" borderId="7" xfId="11" applyFont="1" applyBorder="1" applyAlignment="1" applyProtection="1">
      <alignment horizontal="center" vertical="center"/>
      <protection hidden="1"/>
    </xf>
    <xf numFmtId="0" fontId="7" fillId="0" borderId="2" xfId="11" applyFont="1" applyBorder="1" applyAlignment="1" applyProtection="1">
      <alignment horizontal="center" vertical="center"/>
      <protection hidden="1"/>
    </xf>
    <xf numFmtId="0" fontId="9" fillId="0" borderId="2" xfId="0" applyFont="1" applyBorder="1" applyProtection="1">
      <protection hidden="1"/>
    </xf>
    <xf numFmtId="0" fontId="7" fillId="0" borderId="10" xfId="12" applyFont="1" applyBorder="1" applyAlignment="1" applyProtection="1">
      <alignment horizontal="center" vertical="center"/>
      <protection hidden="1"/>
    </xf>
    <xf numFmtId="0" fontId="7" fillId="0" borderId="7" xfId="12" applyFont="1" applyBorder="1" applyAlignment="1" applyProtection="1">
      <alignment horizontal="center" vertical="center"/>
      <protection hidden="1"/>
    </xf>
    <xf numFmtId="0" fontId="7" fillId="0" borderId="9" xfId="12" applyFont="1" applyBorder="1" applyAlignment="1" applyProtection="1">
      <alignment horizontal="center" vertical="center"/>
      <protection hidden="1"/>
    </xf>
    <xf numFmtId="0" fontId="7" fillId="0" borderId="2" xfId="12" applyFont="1" applyBorder="1" applyAlignment="1" applyProtection="1">
      <alignment horizontal="center" vertical="center"/>
      <protection hidden="1"/>
    </xf>
    <xf numFmtId="0" fontId="7" fillId="0" borderId="0" xfId="12" applyFont="1" applyBorder="1" applyAlignment="1" applyProtection="1">
      <alignment horizontal="center" vertical="center"/>
      <protection hidden="1"/>
    </xf>
    <xf numFmtId="0" fontId="7" fillId="0" borderId="8" xfId="12" applyFont="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9" fillId="0" borderId="29" xfId="0" applyFont="1" applyBorder="1" applyProtection="1">
      <protection hidden="1"/>
    </xf>
    <xf numFmtId="174" fontId="9" fillId="0" borderId="3" xfId="0" applyNumberFormat="1" applyFont="1" applyBorder="1" applyProtection="1">
      <protection hidden="1"/>
    </xf>
    <xf numFmtId="0" fontId="9" fillId="0" borderId="45" xfId="0" applyFont="1" applyFill="1" applyBorder="1" applyAlignment="1" applyProtection="1">
      <alignment horizontal="left" indent="1"/>
      <protection hidden="1"/>
    </xf>
    <xf numFmtId="175" fontId="6" fillId="0" borderId="5" xfId="11" applyNumberFormat="1" applyFont="1" applyFill="1" applyBorder="1" applyAlignment="1" applyProtection="1">
      <protection hidden="1"/>
    </xf>
    <xf numFmtId="175" fontId="10" fillId="0" borderId="2" xfId="0" applyNumberFormat="1" applyFont="1" applyBorder="1" applyProtection="1">
      <protection hidden="1"/>
    </xf>
    <xf numFmtId="175" fontId="7" fillId="0" borderId="9" xfId="12" applyNumberFormat="1" applyFont="1" applyFill="1" applyBorder="1" applyAlignment="1" applyProtection="1">
      <protection hidden="1"/>
    </xf>
    <xf numFmtId="175" fontId="6" fillId="0" borderId="6" xfId="11" applyNumberFormat="1" applyFont="1" applyFill="1" applyBorder="1" applyAlignment="1" applyProtection="1">
      <protection hidden="1"/>
    </xf>
    <xf numFmtId="175" fontId="6" fillId="0" borderId="7" xfId="11" applyNumberFormat="1" applyFont="1" applyFill="1" applyBorder="1" applyAlignment="1" applyProtection="1">
      <protection hidden="1"/>
    </xf>
    <xf numFmtId="175" fontId="6" fillId="0" borderId="7" xfId="12" applyNumberFormat="1" applyFont="1" applyFill="1" applyBorder="1" applyProtection="1">
      <protection hidden="1"/>
    </xf>
    <xf numFmtId="175" fontId="7" fillId="0" borderId="8" xfId="12" applyNumberFormat="1" applyFont="1" applyFill="1" applyBorder="1" applyAlignment="1" applyProtection="1">
      <protection hidden="1"/>
    </xf>
    <xf numFmtId="174" fontId="9" fillId="0" borderId="8" xfId="0" applyNumberFormat="1" applyFont="1" applyBorder="1" applyProtection="1">
      <protection hidden="1"/>
    </xf>
    <xf numFmtId="174" fontId="9" fillId="0" borderId="10" xfId="0" applyNumberFormat="1" applyFont="1" applyBorder="1" applyProtection="1">
      <protection hidden="1"/>
    </xf>
    <xf numFmtId="0" fontId="9" fillId="0" borderId="11" xfId="0" applyFont="1" applyFill="1" applyBorder="1" applyAlignment="1" applyProtection="1">
      <alignment horizontal="left" indent="1"/>
      <protection hidden="1"/>
    </xf>
    <xf numFmtId="174" fontId="9" fillId="0" borderId="2" xfId="12" applyNumberFormat="1" applyFont="1" applyFill="1" applyBorder="1" applyProtection="1">
      <protection hidden="1"/>
    </xf>
    <xf numFmtId="174" fontId="9" fillId="0" borderId="7" xfId="12" applyNumberFormat="1" applyFont="1" applyFill="1" applyBorder="1" applyProtection="1">
      <protection hidden="1"/>
    </xf>
    <xf numFmtId="174" fontId="9" fillId="0" borderId="7" xfId="0" applyNumberFormat="1" applyFont="1" applyBorder="1" applyProtection="1">
      <protection hidden="1"/>
    </xf>
    <xf numFmtId="174" fontId="9" fillId="0" borderId="0" xfId="12" applyNumberFormat="1" applyFont="1" applyFill="1" applyBorder="1" applyProtection="1">
      <protection hidden="1"/>
    </xf>
    <xf numFmtId="174" fontId="9" fillId="0" borderId="9" xfId="12" applyNumberFormat="1" applyFont="1" applyFill="1" applyBorder="1" applyProtection="1">
      <protection hidden="1"/>
    </xf>
    <xf numFmtId="175" fontId="6" fillId="0" borderId="6" xfId="12" applyNumberFormat="1" applyFont="1" applyFill="1" applyBorder="1" applyAlignment="1" applyProtection="1">
      <protection hidden="1"/>
    </xf>
    <xf numFmtId="175" fontId="6" fillId="0" borderId="6" xfId="12" applyNumberFormat="1" applyFont="1" applyFill="1" applyBorder="1" applyProtection="1">
      <protection hidden="1"/>
    </xf>
    <xf numFmtId="0" fontId="9" fillId="0" borderId="11" xfId="8" applyNumberFormat="1" applyFont="1" applyBorder="1" applyAlignment="1" applyProtection="1">
      <alignment horizontal="left" indent="1"/>
      <protection hidden="1"/>
    </xf>
    <xf numFmtId="0" fontId="9" fillId="0" borderId="34" xfId="0" applyFont="1" applyBorder="1" applyProtection="1">
      <protection hidden="1"/>
    </xf>
    <xf numFmtId="0" fontId="10" fillId="0" borderId="17" xfId="0" applyFont="1" applyFill="1" applyBorder="1" applyAlignment="1" applyProtection="1">
      <alignment horizontal="left" vertical="center" indent="1"/>
      <protection hidden="1"/>
    </xf>
    <xf numFmtId="175" fontId="10" fillId="0" borderId="15" xfId="0" applyNumberFormat="1" applyFont="1" applyBorder="1" applyAlignment="1" applyProtection="1">
      <alignment vertical="center"/>
      <protection hidden="1"/>
    </xf>
    <xf numFmtId="175" fontId="10" fillId="0" borderId="13" xfId="0" applyNumberFormat="1" applyFont="1" applyBorder="1" applyAlignment="1" applyProtection="1">
      <alignment vertical="center"/>
      <protection hidden="1"/>
    </xf>
    <xf numFmtId="175" fontId="10" fillId="0" borderId="14" xfId="0" applyNumberFormat="1" applyFont="1" applyBorder="1" applyAlignment="1" applyProtection="1">
      <alignment vertical="center"/>
      <protection hidden="1"/>
    </xf>
    <xf numFmtId="175" fontId="10" fillId="0" borderId="16" xfId="0" applyNumberFormat="1" applyFont="1" applyBorder="1" applyAlignment="1" applyProtection="1">
      <alignment vertical="center"/>
      <protection hidden="1"/>
    </xf>
    <xf numFmtId="174" fontId="10" fillId="0" borderId="73" xfId="12" applyNumberFormat="1" applyFont="1" applyFill="1" applyBorder="1" applyAlignment="1" applyProtection="1">
      <alignment vertical="center"/>
      <protection hidden="1"/>
    </xf>
    <xf numFmtId="174" fontId="10" fillId="0" borderId="13" xfId="12" applyNumberFormat="1" applyFont="1" applyFill="1" applyBorder="1" applyAlignment="1" applyProtection="1">
      <alignment vertical="center"/>
      <protection hidden="1"/>
    </xf>
    <xf numFmtId="174" fontId="10" fillId="0" borderId="14" xfId="12" applyNumberFormat="1" applyFont="1" applyFill="1" applyBorder="1" applyAlignment="1" applyProtection="1">
      <alignment vertical="center"/>
      <protection hidden="1"/>
    </xf>
    <xf numFmtId="174" fontId="10" fillId="0" borderId="16" xfId="12" applyNumberFormat="1" applyFont="1" applyFill="1" applyBorder="1" applyAlignment="1" applyProtection="1">
      <alignment vertical="center"/>
      <protection hidden="1"/>
    </xf>
    <xf numFmtId="0" fontId="9" fillId="0" borderId="0" xfId="0" applyFont="1" applyBorder="1" applyProtection="1">
      <protection hidden="1"/>
    </xf>
    <xf numFmtId="0" fontId="9" fillId="0" borderId="0" xfId="0" applyFont="1" applyBorder="1" applyAlignment="1" applyProtection="1">
      <alignment horizontal="left" indent="1"/>
      <protection hidden="1"/>
    </xf>
    <xf numFmtId="175" fontId="9" fillId="0" borderId="0" xfId="0" applyNumberFormat="1" applyFont="1" applyBorder="1" applyProtection="1">
      <protection hidden="1"/>
    </xf>
    <xf numFmtId="175" fontId="6" fillId="0" borderId="58" xfId="11" applyNumberFormat="1" applyFont="1" applyFill="1" applyBorder="1" applyAlignment="1" applyProtection="1">
      <protection hidden="1"/>
    </xf>
    <xf numFmtId="175" fontId="6" fillId="0" borderId="58" xfId="12" applyNumberFormat="1" applyFont="1" applyFill="1" applyBorder="1" applyAlignment="1" applyProtection="1">
      <protection hidden="1"/>
    </xf>
    <xf numFmtId="174" fontId="9" fillId="0" borderId="58" xfId="12" applyNumberFormat="1" applyFont="1" applyFill="1" applyBorder="1" applyAlignment="1" applyProtection="1">
      <protection hidden="1"/>
    </xf>
    <xf numFmtId="174" fontId="9" fillId="0" borderId="58" xfId="12" applyNumberFormat="1" applyFont="1" applyBorder="1" applyAlignment="1" applyProtection="1">
      <protection hidden="1"/>
    </xf>
    <xf numFmtId="174" fontId="9" fillId="0" borderId="58" xfId="0" applyNumberFormat="1" applyFont="1" applyBorder="1" applyAlignment="1" applyProtection="1">
      <protection hidden="1"/>
    </xf>
    <xf numFmtId="175" fontId="9" fillId="0" borderId="0" xfId="0" applyNumberFormat="1" applyFont="1" applyProtection="1">
      <protection hidden="1"/>
    </xf>
    <xf numFmtId="0" fontId="9" fillId="0" borderId="0" xfId="0" applyNumberFormat="1" applyFont="1" applyBorder="1" applyProtection="1">
      <protection hidden="1"/>
    </xf>
    <xf numFmtId="0" fontId="9" fillId="0" borderId="0" xfId="11" applyNumberFormat="1" applyFont="1" applyFill="1" applyBorder="1" applyAlignment="1" applyProtection="1">
      <protection hidden="1"/>
    </xf>
    <xf numFmtId="0" fontId="9" fillId="0" borderId="0" xfId="12" applyNumberFormat="1" applyFont="1" applyFill="1" applyBorder="1" applyAlignment="1" applyProtection="1">
      <protection hidden="1"/>
    </xf>
    <xf numFmtId="0" fontId="9" fillId="0" borderId="0" xfId="0" applyFont="1" applyBorder="1" applyAlignment="1" applyProtection="1">
      <protection hidden="1"/>
    </xf>
    <xf numFmtId="175" fontId="10" fillId="0" borderId="0" xfId="11" applyNumberFormat="1" applyFont="1" applyFill="1" applyBorder="1" applyAlignment="1" applyProtection="1">
      <protection hidden="1"/>
    </xf>
    <xf numFmtId="0" fontId="9" fillId="0" borderId="58" xfId="0" applyFont="1" applyBorder="1" applyProtection="1">
      <protection hidden="1"/>
    </xf>
    <xf numFmtId="0" fontId="9" fillId="0" borderId="36" xfId="0" applyFont="1" applyBorder="1" applyProtection="1">
      <protection hidden="1"/>
    </xf>
    <xf numFmtId="0" fontId="9" fillId="0" borderId="42" xfId="0" applyFont="1" applyBorder="1" applyProtection="1">
      <protection hidden="1"/>
    </xf>
    <xf numFmtId="0" fontId="9" fillId="0" borderId="0" xfId="0" applyFont="1" applyFill="1" applyBorder="1" applyAlignment="1" applyProtection="1">
      <alignment horizontal="left" indent="1"/>
      <protection hidden="1"/>
    </xf>
    <xf numFmtId="177" fontId="9" fillId="0" borderId="5" xfId="0" applyNumberFormat="1" applyFont="1" applyBorder="1" applyAlignment="1" applyProtection="1">
      <alignment horizontal="center"/>
      <protection hidden="1"/>
    </xf>
    <xf numFmtId="177" fontId="9" fillId="0" borderId="7" xfId="0" applyNumberFormat="1" applyFont="1" applyBorder="1" applyAlignment="1" applyProtection="1">
      <alignment horizontal="center"/>
      <protection hidden="1"/>
    </xf>
    <xf numFmtId="0" fontId="9" fillId="0" borderId="0" xfId="8" applyNumberFormat="1" applyFont="1" applyBorder="1" applyAlignment="1" applyProtection="1">
      <alignment horizontal="left" indent="1"/>
      <protection hidden="1"/>
    </xf>
    <xf numFmtId="0" fontId="9" fillId="0" borderId="2" xfId="0" applyFont="1" applyFill="1" applyBorder="1" applyAlignment="1" applyProtection="1">
      <alignment horizontal="left" indent="1"/>
      <protection hidden="1"/>
    </xf>
    <xf numFmtId="169" fontId="9" fillId="0" borderId="34" xfId="0" applyNumberFormat="1" applyFont="1" applyBorder="1" applyAlignment="1" applyProtection="1">
      <alignment vertical="center"/>
      <protection hidden="1"/>
    </xf>
    <xf numFmtId="0" fontId="9" fillId="0" borderId="64" xfId="0" applyFont="1" applyFill="1" applyBorder="1" applyAlignment="1" applyProtection="1">
      <alignment horizontal="left" vertical="center" indent="1"/>
      <protection hidden="1"/>
    </xf>
    <xf numFmtId="177" fontId="9" fillId="0" borderId="13" xfId="0" applyNumberFormat="1" applyFont="1" applyBorder="1" applyAlignment="1" applyProtection="1">
      <alignment horizontal="center" vertical="center"/>
      <protection hidden="1"/>
    </xf>
    <xf numFmtId="177" fontId="9" fillId="0" borderId="13" xfId="0" applyNumberFormat="1" applyFont="1" applyBorder="1" applyAlignment="1" applyProtection="1">
      <alignment horizontal="center"/>
      <protection hidden="1"/>
    </xf>
    <xf numFmtId="0" fontId="9" fillId="0" borderId="0" xfId="0" applyNumberFormat="1" applyFont="1" applyFill="1" applyBorder="1" applyAlignment="1" applyProtection="1">
      <protection hidden="1"/>
    </xf>
    <xf numFmtId="0" fontId="9" fillId="0" borderId="41" xfId="0" applyFont="1" applyBorder="1" applyProtection="1">
      <protection hidden="1"/>
    </xf>
    <xf numFmtId="0" fontId="9" fillId="0" borderId="10" xfId="0" applyFont="1" applyBorder="1" applyProtection="1">
      <protection hidden="1"/>
    </xf>
    <xf numFmtId="0" fontId="10" fillId="0" borderId="2" xfId="0" applyFont="1" applyBorder="1" applyAlignment="1" applyProtection="1">
      <alignment horizontal="left" vertical="center" indent="1"/>
      <protection hidden="1"/>
    </xf>
    <xf numFmtId="0" fontId="10" fillId="0" borderId="0"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9" fillId="0" borderId="10" xfId="0" applyFont="1" applyBorder="1" applyAlignment="1" applyProtection="1">
      <protection hidden="1"/>
    </xf>
    <xf numFmtId="0" fontId="10" fillId="0" borderId="2" xfId="0" applyFont="1" applyBorder="1" applyAlignment="1" applyProtection="1">
      <alignment horizontal="left" vertical="top" indent="1"/>
      <protection hidden="1"/>
    </xf>
    <xf numFmtId="0" fontId="10" fillId="0" borderId="6" xfId="0" applyFont="1" applyBorder="1" applyAlignment="1" applyProtection="1">
      <alignment horizontal="center" vertical="center"/>
      <protection hidden="1"/>
    </xf>
    <xf numFmtId="0" fontId="9" fillId="0" borderId="36" xfId="0" applyFont="1" applyBorder="1" applyAlignment="1" applyProtection="1">
      <protection hidden="1"/>
    </xf>
    <xf numFmtId="170" fontId="9" fillId="0" borderId="10" xfId="0" applyNumberFormat="1" applyFont="1" applyBorder="1" applyProtection="1">
      <protection hidden="1"/>
    </xf>
    <xf numFmtId="0" fontId="9" fillId="0" borderId="9"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182" fontId="9" fillId="0" borderId="34" xfId="0" applyNumberFormat="1" applyFont="1" applyBorder="1" applyAlignment="1" applyProtection="1">
      <alignment vertical="center"/>
      <protection hidden="1"/>
    </xf>
    <xf numFmtId="0" fontId="10" fillId="0" borderId="73" xfId="0" applyFont="1" applyBorder="1" applyAlignment="1" applyProtection="1">
      <alignment horizontal="left" vertical="center" indent="1"/>
      <protection hidden="1"/>
    </xf>
    <xf numFmtId="0" fontId="9" fillId="0" borderId="0" xfId="0" applyFont="1" applyAlignment="1" applyProtection="1">
      <alignment horizontal="left" indent="1"/>
      <protection hidden="1"/>
    </xf>
    <xf numFmtId="0" fontId="8" fillId="0" borderId="41" xfId="0" applyFont="1" applyBorder="1" applyProtection="1">
      <protection hidden="1"/>
    </xf>
    <xf numFmtId="0" fontId="11" fillId="0" borderId="2" xfId="0" applyFont="1" applyBorder="1" applyAlignment="1" applyProtection="1">
      <alignment horizontal="left" vertical="top" indent="1"/>
      <protection hidden="1"/>
    </xf>
    <xf numFmtId="0" fontId="8" fillId="0" borderId="42" xfId="0" applyFont="1" applyBorder="1" applyProtection="1">
      <protection hidden="1"/>
    </xf>
    <xf numFmtId="0" fontId="8" fillId="0" borderId="0" xfId="0" applyFont="1" applyProtection="1">
      <protection hidden="1"/>
    </xf>
    <xf numFmtId="0" fontId="6" fillId="17" borderId="0" xfId="0" applyFont="1" applyFill="1" applyProtection="1">
      <protection hidden="1"/>
    </xf>
    <xf numFmtId="0" fontId="6" fillId="17" borderId="0" xfId="4" applyFont="1" applyFill="1" applyProtection="1">
      <protection hidden="1"/>
    </xf>
    <xf numFmtId="0" fontId="6" fillId="17" borderId="0" xfId="4" applyFont="1" applyFill="1" applyBorder="1" applyProtection="1">
      <protection hidden="1"/>
    </xf>
    <xf numFmtId="0" fontId="6" fillId="17" borderId="0" xfId="4" applyFont="1" applyFill="1" applyAlignment="1" applyProtection="1">
      <alignment vertical="top"/>
      <protection hidden="1"/>
    </xf>
    <xf numFmtId="0" fontId="6" fillId="17" borderId="0" xfId="4" applyFont="1" applyFill="1" applyAlignment="1" applyProtection="1">
      <protection hidden="1"/>
    </xf>
    <xf numFmtId="170" fontId="6" fillId="17" borderId="0" xfId="0" applyNumberFormat="1" applyFont="1" applyFill="1" applyBorder="1" applyAlignment="1" applyProtection="1">
      <alignment vertical="center"/>
      <protection hidden="1"/>
    </xf>
    <xf numFmtId="170" fontId="6" fillId="17" borderId="0" xfId="0" applyNumberFormat="1" applyFont="1" applyFill="1" applyBorder="1" applyProtection="1">
      <protection hidden="1"/>
    </xf>
    <xf numFmtId="0" fontId="6" fillId="17" borderId="0" xfId="0" applyFont="1" applyFill="1" applyBorder="1" applyProtection="1">
      <protection hidden="1"/>
    </xf>
    <xf numFmtId="182" fontId="6" fillId="17" borderId="0" xfId="0" applyNumberFormat="1" applyFont="1" applyFill="1" applyBorder="1" applyAlignment="1" applyProtection="1">
      <alignment vertical="center"/>
      <protection hidden="1"/>
    </xf>
    <xf numFmtId="0" fontId="7" fillId="17" borderId="0" xfId="0" applyFont="1" applyFill="1" applyAlignment="1" applyProtection="1">
      <alignment horizontal="center" vertical="top" wrapText="1"/>
      <protection hidden="1"/>
    </xf>
    <xf numFmtId="0" fontId="7" fillId="17" borderId="0" xfId="0" applyFont="1" applyFill="1" applyProtection="1">
      <protection hidden="1"/>
    </xf>
    <xf numFmtId="0" fontId="6" fillId="17" borderId="0" xfId="0" applyFont="1" applyFill="1" applyAlignment="1" applyProtection="1">
      <alignment horizontal="center" vertical="center"/>
      <protection hidden="1"/>
    </xf>
    <xf numFmtId="0" fontId="6" fillId="17" borderId="0" xfId="0" quotePrefix="1" applyFont="1" applyFill="1" applyAlignment="1" applyProtection="1">
      <alignment horizontal="center" vertical="center"/>
      <protection hidden="1"/>
    </xf>
    <xf numFmtId="0" fontId="7" fillId="17" borderId="0" xfId="0" applyFont="1" applyFill="1" applyAlignment="1" applyProtection="1">
      <alignment vertical="top" wrapText="1"/>
      <protection hidden="1"/>
    </xf>
    <xf numFmtId="0" fontId="6" fillId="17" borderId="0" xfId="0" applyFont="1" applyFill="1" applyAlignment="1" applyProtection="1">
      <protection hidden="1"/>
    </xf>
    <xf numFmtId="0" fontId="6" fillId="17" borderId="0" xfId="0" applyFont="1" applyFill="1" applyBorder="1" applyAlignment="1" applyProtection="1">
      <protection hidden="1"/>
    </xf>
    <xf numFmtId="187" fontId="6" fillId="17" borderId="0" xfId="0" applyNumberFormat="1" applyFont="1" applyFill="1" applyProtection="1">
      <protection hidden="1"/>
    </xf>
    <xf numFmtId="0" fontId="6" fillId="17" borderId="0" xfId="9" applyFont="1" applyFill="1" applyProtection="1">
      <protection hidden="1"/>
    </xf>
    <xf numFmtId="0" fontId="6" fillId="17" borderId="0" xfId="9" applyFont="1" applyFill="1" applyAlignment="1" applyProtection="1">
      <alignment horizontal="center"/>
      <protection hidden="1"/>
    </xf>
    <xf numFmtId="0" fontId="6" fillId="17" borderId="0" xfId="9" applyFont="1" applyFill="1" applyAlignment="1" applyProtection="1">
      <protection hidden="1"/>
    </xf>
    <xf numFmtId="0" fontId="6" fillId="17" borderId="0" xfId="9" applyFont="1" applyFill="1" applyAlignment="1" applyProtection="1">
      <alignment vertical="top"/>
      <protection hidden="1"/>
    </xf>
    <xf numFmtId="0" fontId="7" fillId="17" borderId="0" xfId="0" applyFont="1" applyFill="1" applyAlignment="1" applyProtection="1">
      <protection hidden="1"/>
    </xf>
    <xf numFmtId="2" fontId="6" fillId="17" borderId="0" xfId="0" applyNumberFormat="1" applyFont="1" applyFill="1" applyAlignment="1" applyProtection="1">
      <alignment horizontal="center" vertical="center"/>
      <protection hidden="1"/>
    </xf>
    <xf numFmtId="0" fontId="6" fillId="17" borderId="0" xfId="0" quotePrefix="1" applyNumberFormat="1" applyFont="1" applyFill="1" applyAlignment="1" applyProtection="1">
      <protection hidden="1"/>
    </xf>
    <xf numFmtId="0" fontId="6" fillId="17" borderId="0" xfId="9" applyFont="1" applyFill="1" applyAlignment="1" applyProtection="1">
      <alignment horizontal="center" vertical="center"/>
      <protection hidden="1"/>
    </xf>
    <xf numFmtId="0" fontId="6" fillId="17" borderId="0" xfId="9" applyFont="1" applyFill="1" applyAlignment="1" applyProtection="1">
      <alignment vertical="center"/>
      <protection hidden="1"/>
    </xf>
    <xf numFmtId="0" fontId="0" fillId="17" borderId="0" xfId="0" applyFill="1"/>
    <xf numFmtId="0" fontId="7" fillId="17" borderId="0" xfId="0" applyFont="1" applyFill="1" applyAlignment="1" applyProtection="1">
      <alignment wrapText="1"/>
      <protection hidden="1"/>
    </xf>
    <xf numFmtId="0" fontId="7" fillId="17" borderId="0" xfId="0" applyFont="1" applyFill="1" applyAlignment="1" applyProtection="1">
      <alignment vertical="top"/>
      <protection hidden="1"/>
    </xf>
    <xf numFmtId="0" fontId="6" fillId="17" borderId="0" xfId="0" applyFont="1" applyFill="1" applyAlignment="1" applyProtection="1">
      <alignment horizontal="center" wrapText="1"/>
      <protection hidden="1"/>
    </xf>
    <xf numFmtId="0" fontId="6" fillId="17" borderId="0" xfId="0" applyNumberFormat="1" applyFont="1" applyFill="1" applyAlignment="1" applyProtection="1">
      <protection hidden="1"/>
    </xf>
    <xf numFmtId="0" fontId="6" fillId="17" borderId="0" xfId="0" applyFont="1" applyFill="1" applyAlignment="1" applyProtection="1">
      <alignment vertical="center"/>
      <protection hidden="1"/>
    </xf>
    <xf numFmtId="0" fontId="6" fillId="17" borderId="0" xfId="0" applyNumberFormat="1" applyFont="1" applyFill="1" applyBorder="1" applyProtection="1">
      <protection hidden="1"/>
    </xf>
    <xf numFmtId="172" fontId="6" fillId="17" borderId="0" xfId="0" applyNumberFormat="1" applyFont="1" applyFill="1" applyProtection="1">
      <protection hidden="1"/>
    </xf>
    <xf numFmtId="0" fontId="6" fillId="17" borderId="0" xfId="0" applyFont="1" applyFill="1" applyAlignment="1" applyProtection="1">
      <alignment vertical="top"/>
      <protection hidden="1"/>
    </xf>
    <xf numFmtId="0" fontId="10" fillId="0" borderId="31" xfId="0" applyFont="1" applyBorder="1" applyAlignment="1" applyProtection="1">
      <alignment horizontal="center" vertical="center"/>
      <protection locked="0"/>
    </xf>
    <xf numFmtId="175" fontId="9" fillId="0" borderId="105" xfId="4" applyNumberFormat="1" applyFont="1" applyFill="1" applyBorder="1" applyAlignment="1" applyProtection="1">
      <protection hidden="1"/>
    </xf>
    <xf numFmtId="0" fontId="9" fillId="0" borderId="103" xfId="4" applyFont="1" applyFill="1" applyBorder="1" applyAlignment="1" applyProtection="1">
      <alignment horizontal="left" vertical="center" indent="4"/>
      <protection hidden="1"/>
    </xf>
    <xf numFmtId="172" fontId="7" fillId="6" borderId="109" xfId="0" applyNumberFormat="1" applyFont="1" applyFill="1" applyBorder="1" applyAlignment="1" applyProtection="1">
      <alignment vertical="center" wrapText="1"/>
      <protection hidden="1"/>
    </xf>
    <xf numFmtId="0" fontId="7" fillId="7" borderId="0" xfId="0" applyFont="1" applyFill="1" applyBorder="1" applyAlignment="1" applyProtection="1">
      <alignment horizontal="center" vertical="center" wrapText="1"/>
      <protection hidden="1"/>
    </xf>
    <xf numFmtId="0" fontId="20" fillId="7" borderId="0" xfId="0" applyFont="1" applyFill="1" applyBorder="1" applyAlignment="1" applyProtection="1">
      <alignment horizontal="center" vertical="top" wrapText="1"/>
      <protection hidden="1"/>
    </xf>
    <xf numFmtId="0" fontId="7" fillId="7" borderId="64" xfId="0" quotePrefix="1" applyFont="1" applyFill="1" applyBorder="1" applyAlignment="1" applyProtection="1">
      <alignment horizontal="center" vertical="center" wrapText="1"/>
      <protection hidden="1"/>
    </xf>
    <xf numFmtId="0" fontId="6" fillId="7" borderId="58" xfId="4" applyFont="1" applyFill="1" applyBorder="1" applyProtection="1">
      <protection hidden="1"/>
    </xf>
    <xf numFmtId="0" fontId="6" fillId="7" borderId="111" xfId="4" applyFont="1" applyFill="1" applyBorder="1" applyProtection="1">
      <protection hidden="1"/>
    </xf>
    <xf numFmtId="172" fontId="20" fillId="6" borderId="113" xfId="0" applyNumberFormat="1" applyFont="1" applyFill="1" applyBorder="1" applyAlignment="1" applyProtection="1">
      <alignment horizontal="center" vertical="top" wrapText="1"/>
      <protection hidden="1"/>
    </xf>
    <xf numFmtId="0" fontId="6" fillId="7" borderId="105" xfId="0" applyFont="1" applyFill="1" applyBorder="1" applyAlignment="1" applyProtection="1">
      <alignment horizontal="center" vertical="top" wrapText="1"/>
      <protection hidden="1"/>
    </xf>
    <xf numFmtId="0" fontId="20" fillId="7" borderId="105" xfId="0" applyFont="1" applyFill="1" applyBorder="1" applyAlignment="1" applyProtection="1">
      <alignment horizontal="center" vertical="top" wrapText="1"/>
      <protection hidden="1"/>
    </xf>
    <xf numFmtId="0" fontId="7" fillId="7" borderId="8" xfId="0" applyFont="1" applyFill="1" applyBorder="1" applyAlignment="1" applyProtection="1">
      <alignment horizontal="center" vertical="center" wrapText="1"/>
      <protection hidden="1"/>
    </xf>
    <xf numFmtId="172" fontId="7" fillId="6" borderId="109" xfId="0" applyNumberFormat="1" applyFont="1" applyFill="1" applyBorder="1" applyAlignment="1" applyProtection="1">
      <alignment horizontal="right" vertical="center" indent="1"/>
      <protection hidden="1"/>
    </xf>
    <xf numFmtId="176" fontId="7" fillId="7" borderId="0" xfId="4" applyNumberFormat="1" applyFont="1" applyFill="1" applyBorder="1" applyAlignment="1" applyProtection="1">
      <alignment vertical="center"/>
      <protection hidden="1"/>
    </xf>
    <xf numFmtId="180" fontId="7" fillId="7" borderId="17" xfId="4" applyNumberFormat="1" applyFont="1" applyFill="1" applyBorder="1" applyAlignment="1" applyProtection="1">
      <alignment vertical="center"/>
      <protection hidden="1"/>
    </xf>
    <xf numFmtId="180" fontId="7" fillId="7" borderId="11" xfId="4" applyNumberFormat="1" applyFont="1" applyFill="1" applyBorder="1" applyAlignment="1" applyProtection="1">
      <alignment vertical="center"/>
      <protection hidden="1"/>
    </xf>
    <xf numFmtId="0" fontId="6" fillId="7" borderId="7" xfId="0" applyFont="1" applyFill="1" applyBorder="1" applyAlignment="1" applyProtection="1">
      <alignment horizontal="center" vertical="top" wrapText="1"/>
      <protection hidden="1"/>
    </xf>
    <xf numFmtId="180" fontId="7" fillId="7" borderId="116" xfId="4" applyNumberFormat="1" applyFont="1" applyFill="1" applyBorder="1" applyAlignment="1" applyProtection="1">
      <alignment vertical="center"/>
      <protection hidden="1"/>
    </xf>
    <xf numFmtId="0" fontId="6" fillId="7" borderId="116" xfId="4" applyFont="1" applyFill="1" applyBorder="1" applyProtection="1">
      <protection hidden="1"/>
    </xf>
    <xf numFmtId="176" fontId="6" fillId="7" borderId="118" xfId="4" applyNumberFormat="1" applyFont="1" applyFill="1" applyBorder="1" applyAlignment="1" applyProtection="1">
      <alignment vertical="center"/>
      <protection hidden="1"/>
    </xf>
    <xf numFmtId="176" fontId="7" fillId="7" borderId="64" xfId="4" applyNumberFormat="1" applyFont="1" applyFill="1" applyBorder="1" applyAlignment="1" applyProtection="1">
      <alignment vertical="center"/>
      <protection hidden="1"/>
    </xf>
    <xf numFmtId="176" fontId="6" fillId="7" borderId="8" xfId="4" applyNumberFormat="1" applyFont="1" applyFill="1" applyBorder="1" applyAlignment="1" applyProtection="1">
      <alignment vertical="center"/>
      <protection hidden="1"/>
    </xf>
    <xf numFmtId="176" fontId="7" fillId="7" borderId="8" xfId="4" applyNumberFormat="1" applyFont="1" applyFill="1" applyBorder="1" applyAlignment="1" applyProtection="1">
      <alignment vertical="center"/>
      <protection hidden="1"/>
    </xf>
    <xf numFmtId="176" fontId="7" fillId="7" borderId="16" xfId="4" applyNumberFormat="1" applyFont="1" applyFill="1" applyBorder="1" applyAlignment="1" applyProtection="1">
      <alignment vertical="center"/>
      <protection hidden="1"/>
    </xf>
    <xf numFmtId="180" fontId="7" fillId="7" borderId="83" xfId="4" applyNumberFormat="1" applyFont="1" applyFill="1" applyBorder="1" applyAlignment="1" applyProtection="1">
      <alignment vertical="center"/>
      <protection hidden="1"/>
    </xf>
    <xf numFmtId="176" fontId="6" fillId="7" borderId="46" xfId="4" applyNumberFormat="1" applyFont="1" applyFill="1" applyBorder="1" applyAlignment="1" applyProtection="1">
      <alignment vertical="center"/>
      <protection hidden="1"/>
    </xf>
    <xf numFmtId="176" fontId="6" fillId="7" borderId="20" xfId="4" applyNumberFormat="1" applyFont="1" applyFill="1" applyBorder="1" applyAlignment="1" applyProtection="1">
      <alignment vertical="center"/>
      <protection hidden="1"/>
    </xf>
    <xf numFmtId="176" fontId="6" fillId="7" borderId="82" xfId="4" applyNumberFormat="1" applyFont="1" applyFill="1" applyBorder="1" applyAlignment="1" applyProtection="1">
      <alignment vertical="center"/>
      <protection hidden="1"/>
    </xf>
    <xf numFmtId="176" fontId="6" fillId="7" borderId="48" xfId="4" applyNumberFormat="1" applyFont="1" applyFill="1" applyBorder="1" applyAlignment="1" applyProtection="1">
      <alignment vertical="center"/>
      <protection hidden="1"/>
    </xf>
    <xf numFmtId="188" fontId="7" fillId="5" borderId="10" xfId="0" quotePrefix="1" applyNumberFormat="1" applyFont="1" applyFill="1" applyBorder="1" applyAlignment="1" applyProtection="1">
      <alignment horizontal="center" vertical="center" wrapText="1"/>
      <protection hidden="1"/>
    </xf>
    <xf numFmtId="188" fontId="7" fillId="5" borderId="13" xfId="0" quotePrefix="1" applyNumberFormat="1" applyFont="1" applyFill="1" applyBorder="1" applyAlignment="1" applyProtection="1">
      <alignment horizontal="center" vertical="center" wrapText="1"/>
      <protection hidden="1"/>
    </xf>
    <xf numFmtId="188" fontId="7" fillId="5" borderId="14" xfId="0" quotePrefix="1" applyNumberFormat="1" applyFont="1" applyFill="1" applyBorder="1" applyAlignment="1" applyProtection="1">
      <alignment horizontal="center" vertical="center" wrapText="1"/>
      <protection hidden="1"/>
    </xf>
    <xf numFmtId="188" fontId="7" fillId="5" borderId="15" xfId="0" quotePrefix="1" applyNumberFormat="1" applyFont="1" applyFill="1" applyBorder="1" applyAlignment="1" applyProtection="1">
      <alignment horizontal="center" vertical="center" wrapText="1"/>
      <protection hidden="1"/>
    </xf>
    <xf numFmtId="188" fontId="7" fillId="5" borderId="16" xfId="0" quotePrefix="1" applyNumberFormat="1" applyFont="1" applyFill="1" applyBorder="1" applyAlignment="1" applyProtection="1">
      <alignment horizontal="center" vertical="center" wrapText="1"/>
      <protection hidden="1"/>
    </xf>
    <xf numFmtId="188" fontId="7" fillId="5" borderId="18" xfId="0" quotePrefix="1" applyNumberFormat="1" applyFont="1" applyFill="1" applyBorder="1" applyAlignment="1" applyProtection="1">
      <alignment horizontal="center" vertical="center" wrapText="1"/>
      <protection hidden="1"/>
    </xf>
    <xf numFmtId="0" fontId="9" fillId="0" borderId="103" xfId="0" applyFont="1" applyBorder="1" applyProtection="1">
      <protection hidden="1"/>
    </xf>
    <xf numFmtId="175" fontId="9" fillId="0" borderId="105" xfId="4" applyNumberFormat="1" applyFont="1" applyFill="1" applyBorder="1" applyAlignment="1" applyProtection="1">
      <alignment vertical="center"/>
      <protection hidden="1"/>
    </xf>
    <xf numFmtId="175" fontId="9" fillId="0" borderId="58" xfId="4" applyNumberFormat="1" applyFont="1" applyFill="1" applyBorder="1" applyAlignment="1" applyProtection="1">
      <protection hidden="1"/>
    </xf>
    <xf numFmtId="0" fontId="10" fillId="0" borderId="117" xfId="0" applyFont="1" applyFill="1" applyBorder="1" applyAlignment="1" applyProtection="1">
      <alignment horizontal="center" vertical="top" wrapText="1"/>
      <protection hidden="1"/>
    </xf>
    <xf numFmtId="0" fontId="10" fillId="0" borderId="117" xfId="0" applyFont="1" applyFill="1" applyBorder="1" applyAlignment="1" applyProtection="1">
      <alignment horizontal="center" vertical="top"/>
      <protection hidden="1"/>
    </xf>
    <xf numFmtId="0" fontId="10" fillId="0" borderId="117" xfId="8" applyNumberFormat="1" applyFont="1" applyBorder="1" applyAlignment="1" applyProtection="1">
      <alignment horizontal="center" vertical="top" wrapText="1"/>
      <protection hidden="1"/>
    </xf>
    <xf numFmtId="188" fontId="10" fillId="0" borderId="0" xfId="0" quotePrefix="1" applyNumberFormat="1" applyFont="1" applyBorder="1" applyAlignment="1" applyProtection="1">
      <alignment horizontal="center" vertical="center"/>
      <protection hidden="1"/>
    </xf>
    <xf numFmtId="188" fontId="10" fillId="0" borderId="9" xfId="8" quotePrefix="1" applyNumberFormat="1" applyFont="1" applyBorder="1" applyAlignment="1" applyProtection="1">
      <alignment horizontal="center" vertical="center"/>
      <protection hidden="1"/>
    </xf>
    <xf numFmtId="188" fontId="10" fillId="0" borderId="62" xfId="8" quotePrefix="1" applyNumberFormat="1" applyFont="1" applyBorder="1" applyAlignment="1" applyProtection="1">
      <alignment horizontal="center" vertical="center"/>
      <protection hidden="1"/>
    </xf>
    <xf numFmtId="188" fontId="10" fillId="0" borderId="28" xfId="8" quotePrefix="1" applyNumberFormat="1" applyFont="1" applyBorder="1" applyAlignment="1" applyProtection="1">
      <alignment horizontal="center" vertical="center"/>
      <protection hidden="1"/>
    </xf>
    <xf numFmtId="0" fontId="9" fillId="0" borderId="7" xfId="4" applyNumberFormat="1" applyFont="1" applyFill="1" applyBorder="1" applyAlignment="1" applyProtection="1">
      <protection hidden="1"/>
    </xf>
    <xf numFmtId="188" fontId="10" fillId="0" borderId="112" xfId="8" quotePrefix="1" applyNumberFormat="1" applyFont="1" applyBorder="1" applyAlignment="1" applyProtection="1">
      <alignment horizontal="center" vertical="center"/>
      <protection hidden="1"/>
    </xf>
    <xf numFmtId="0" fontId="10" fillId="0" borderId="103" xfId="0" applyFont="1" applyBorder="1" applyAlignment="1" applyProtection="1">
      <alignment horizontal="center" vertical="center"/>
      <protection hidden="1"/>
    </xf>
    <xf numFmtId="188" fontId="10" fillId="0" borderId="111" xfId="0" quotePrefix="1" applyNumberFormat="1" applyFont="1" applyBorder="1" applyAlignment="1" applyProtection="1">
      <alignment horizontal="center" vertical="center"/>
      <protection hidden="1"/>
    </xf>
    <xf numFmtId="0" fontId="10" fillId="0" borderId="113" xfId="0" applyFont="1" applyBorder="1" applyAlignment="1" applyProtection="1">
      <alignment horizontal="center" vertical="center"/>
      <protection hidden="1"/>
    </xf>
    <xf numFmtId="0" fontId="10" fillId="0" borderId="105" xfId="0" applyFont="1" applyBorder="1" applyAlignment="1" applyProtection="1">
      <alignment horizontal="center" vertical="center"/>
      <protection hidden="1"/>
    </xf>
    <xf numFmtId="175" fontId="10" fillId="0" borderId="113" xfId="4" applyNumberFormat="1" applyFont="1" applyFill="1" applyBorder="1" applyAlignment="1" applyProtection="1">
      <protection hidden="1"/>
    </xf>
    <xf numFmtId="0" fontId="9" fillId="0" borderId="105" xfId="4" applyFont="1" applyFill="1" applyBorder="1" applyProtection="1">
      <protection hidden="1"/>
    </xf>
    <xf numFmtId="175" fontId="10" fillId="0" borderId="105" xfId="4" applyNumberFormat="1" applyFont="1" applyFill="1" applyBorder="1" applyAlignment="1" applyProtection="1">
      <alignment vertical="center"/>
      <protection hidden="1"/>
    </xf>
    <xf numFmtId="0" fontId="9" fillId="0" borderId="105" xfId="0" applyFont="1" applyBorder="1" applyProtection="1">
      <protection hidden="1"/>
    </xf>
    <xf numFmtId="0" fontId="10" fillId="0" borderId="119" xfId="0" applyFont="1" applyBorder="1" applyAlignment="1" applyProtection="1">
      <alignment horizontal="center" vertical="center"/>
      <protection hidden="1"/>
    </xf>
    <xf numFmtId="0" fontId="10" fillId="0" borderId="114" xfId="0" applyFont="1" applyBorder="1" applyAlignment="1" applyProtection="1">
      <alignment horizontal="center" vertical="center"/>
      <protection hidden="1"/>
    </xf>
    <xf numFmtId="188" fontId="10" fillId="0" borderId="10" xfId="0" quotePrefix="1" applyNumberFormat="1" applyFont="1" applyBorder="1" applyAlignment="1" applyProtection="1">
      <alignment horizontal="center" vertical="center"/>
      <protection hidden="1"/>
    </xf>
    <xf numFmtId="175" fontId="9" fillId="0" borderId="114" xfId="4" applyNumberFormat="1" applyFont="1" applyFill="1" applyBorder="1" applyAlignment="1" applyProtection="1">
      <protection hidden="1"/>
    </xf>
    <xf numFmtId="0" fontId="10" fillId="0" borderId="110" xfId="0" applyFont="1" applyFill="1" applyBorder="1" applyAlignment="1" applyProtection="1">
      <alignment horizontal="center" vertical="top" wrapText="1"/>
      <protection hidden="1"/>
    </xf>
    <xf numFmtId="0" fontId="9" fillId="0" borderId="103" xfId="4" applyNumberFormat="1" applyFont="1" applyFill="1" applyBorder="1" applyAlignment="1" applyProtection="1">
      <protection hidden="1"/>
    </xf>
    <xf numFmtId="0" fontId="9" fillId="0" borderId="103" xfId="4" applyFont="1" applyFill="1" applyBorder="1" applyProtection="1">
      <protection hidden="1"/>
    </xf>
    <xf numFmtId="175" fontId="9" fillId="0" borderId="103" xfId="4" applyNumberFormat="1" applyFont="1" applyFill="1" applyBorder="1" applyAlignment="1" applyProtection="1">
      <alignment vertical="center"/>
      <protection hidden="1"/>
    </xf>
    <xf numFmtId="0" fontId="9" fillId="0" borderId="103" xfId="0" applyNumberFormat="1" applyFont="1" applyBorder="1" applyAlignment="1" applyProtection="1">
      <protection hidden="1"/>
    </xf>
    <xf numFmtId="175" fontId="10" fillId="0" borderId="103" xfId="4" applyNumberFormat="1" applyFont="1" applyFill="1" applyBorder="1" applyAlignment="1" applyProtection="1">
      <alignment vertical="center"/>
      <protection hidden="1"/>
    </xf>
    <xf numFmtId="175" fontId="10" fillId="0" borderId="73" xfId="4" applyNumberFormat="1" applyFont="1" applyFill="1" applyBorder="1" applyAlignment="1" applyProtection="1">
      <alignment vertical="center"/>
      <protection hidden="1"/>
    </xf>
    <xf numFmtId="188" fontId="10" fillId="0" borderId="8" xfId="8" quotePrefix="1" applyNumberFormat="1" applyFont="1" applyBorder="1" applyAlignment="1" applyProtection="1">
      <alignment horizontal="center" vertical="center"/>
      <protection hidden="1"/>
    </xf>
    <xf numFmtId="175" fontId="9" fillId="0" borderId="122" xfId="4" applyNumberFormat="1" applyFont="1" applyFill="1" applyBorder="1" applyAlignment="1" applyProtection="1">
      <protection hidden="1"/>
    </xf>
    <xf numFmtId="0" fontId="9" fillId="0" borderId="10" xfId="4" applyFont="1" applyFill="1" applyBorder="1" applyProtection="1">
      <protection hidden="1"/>
    </xf>
    <xf numFmtId="175" fontId="9" fillId="0" borderId="10" xfId="4" applyNumberFormat="1" applyFont="1" applyFill="1" applyBorder="1" applyAlignment="1" applyProtection="1">
      <alignment vertical="center"/>
      <protection hidden="1"/>
    </xf>
    <xf numFmtId="0" fontId="10" fillId="0" borderId="113" xfId="0" applyFont="1" applyFill="1" applyBorder="1" applyAlignment="1" applyProtection="1">
      <alignment horizontal="center" vertical="top"/>
      <protection hidden="1"/>
    </xf>
    <xf numFmtId="0" fontId="9" fillId="0" borderId="113" xfId="0" applyFont="1" applyBorder="1" applyProtection="1">
      <protection hidden="1"/>
    </xf>
    <xf numFmtId="0" fontId="9" fillId="0" borderId="105" xfId="0" applyNumberFormat="1" applyFont="1" applyBorder="1" applyAlignment="1" applyProtection="1">
      <protection hidden="1"/>
    </xf>
    <xf numFmtId="0" fontId="9" fillId="0" borderId="14" xfId="0" applyFont="1" applyBorder="1" applyProtection="1">
      <protection hidden="1"/>
    </xf>
    <xf numFmtId="0" fontId="10" fillId="0" borderId="121" xfId="0" applyFont="1" applyFill="1" applyBorder="1" applyAlignment="1" applyProtection="1">
      <alignment horizontal="center" vertical="top" wrapText="1"/>
      <protection hidden="1"/>
    </xf>
    <xf numFmtId="0" fontId="10" fillId="0" borderId="12" xfId="0" applyFont="1" applyBorder="1" applyAlignment="1" applyProtection="1">
      <alignment horizontal="center" vertical="center"/>
      <protection hidden="1"/>
    </xf>
    <xf numFmtId="188" fontId="10" fillId="0" borderId="38" xfId="8" quotePrefix="1" applyNumberFormat="1" applyFont="1" applyBorder="1" applyAlignment="1" applyProtection="1">
      <alignment horizontal="center" vertical="center"/>
      <protection hidden="1"/>
    </xf>
    <xf numFmtId="0" fontId="9" fillId="0" borderId="12" xfId="4" applyNumberFormat="1" applyFont="1" applyFill="1" applyBorder="1" applyAlignment="1" applyProtection="1">
      <protection hidden="1"/>
    </xf>
    <xf numFmtId="0" fontId="9" fillId="0" borderId="12" xfId="4" applyFont="1" applyFill="1" applyBorder="1" applyProtection="1">
      <protection hidden="1"/>
    </xf>
    <xf numFmtId="175" fontId="9" fillId="0" borderId="12" xfId="4" applyNumberFormat="1" applyFont="1" applyFill="1" applyBorder="1" applyAlignment="1" applyProtection="1">
      <alignment vertical="center"/>
      <protection hidden="1"/>
    </xf>
    <xf numFmtId="0" fontId="9" fillId="0" borderId="12" xfId="0" applyFont="1" applyBorder="1" applyProtection="1">
      <protection hidden="1"/>
    </xf>
    <xf numFmtId="0" fontId="9" fillId="0" borderId="12" xfId="0" applyNumberFormat="1" applyFont="1" applyBorder="1" applyAlignment="1" applyProtection="1">
      <protection hidden="1"/>
    </xf>
    <xf numFmtId="175" fontId="10" fillId="0" borderId="12" xfId="4" applyNumberFormat="1" applyFont="1" applyFill="1" applyBorder="1" applyAlignment="1" applyProtection="1">
      <alignment vertical="center"/>
      <protection hidden="1"/>
    </xf>
    <xf numFmtId="175" fontId="10" fillId="0" borderId="18" xfId="4" applyNumberFormat="1" applyFont="1" applyFill="1" applyBorder="1" applyAlignment="1" applyProtection="1">
      <alignment vertical="center"/>
      <protection hidden="1"/>
    </xf>
    <xf numFmtId="175" fontId="10" fillId="0" borderId="105" xfId="0" applyNumberFormat="1" applyFont="1" applyBorder="1" applyAlignment="1" applyProtection="1">
      <alignment vertical="center"/>
      <protection hidden="1"/>
    </xf>
    <xf numFmtId="0" fontId="9" fillId="0" borderId="8" xfId="4" applyNumberFormat="1" applyFont="1" applyFill="1" applyBorder="1" applyAlignment="1" applyProtection="1">
      <protection hidden="1"/>
    </xf>
    <xf numFmtId="175" fontId="9" fillId="0" borderId="113" xfId="4" applyNumberFormat="1" applyFont="1" applyFill="1" applyBorder="1" applyAlignment="1" applyProtection="1">
      <protection hidden="1"/>
    </xf>
    <xf numFmtId="0" fontId="8" fillId="0" borderId="105" xfId="4" applyFont="1" applyFill="1" applyBorder="1" applyProtection="1">
      <protection hidden="1"/>
    </xf>
    <xf numFmtId="0" fontId="9" fillId="0" borderId="105" xfId="4" applyNumberFormat="1" applyFont="1" applyFill="1" applyBorder="1" applyAlignment="1" applyProtection="1">
      <protection hidden="1"/>
    </xf>
    <xf numFmtId="0" fontId="10" fillId="0" borderId="110" xfId="0" applyFont="1" applyBorder="1" applyAlignment="1" applyProtection="1">
      <alignment horizontal="center" vertical="center"/>
      <protection hidden="1"/>
    </xf>
    <xf numFmtId="175" fontId="9" fillId="0" borderId="109" xfId="4" applyNumberFormat="1" applyFont="1" applyFill="1" applyBorder="1" applyAlignment="1" applyProtection="1">
      <protection hidden="1"/>
    </xf>
    <xf numFmtId="0" fontId="8" fillId="0" borderId="0" xfId="4" applyFont="1" applyFill="1" applyBorder="1" applyProtection="1">
      <protection hidden="1"/>
    </xf>
    <xf numFmtId="175" fontId="10" fillId="0" borderId="0" xfId="4" applyNumberFormat="1" applyFont="1" applyFill="1" applyBorder="1" applyAlignment="1" applyProtection="1">
      <alignment vertical="center"/>
      <protection hidden="1"/>
    </xf>
    <xf numFmtId="175" fontId="9" fillId="0" borderId="103" xfId="4" applyNumberFormat="1" applyFont="1" applyFill="1" applyBorder="1" applyAlignment="1" applyProtection="1">
      <protection hidden="1"/>
    </xf>
    <xf numFmtId="175" fontId="10" fillId="0" borderId="64" xfId="4" applyNumberFormat="1" applyFont="1" applyFill="1" applyBorder="1" applyAlignment="1" applyProtection="1">
      <alignment vertical="center"/>
      <protection hidden="1"/>
    </xf>
    <xf numFmtId="0" fontId="10" fillId="0" borderId="10" xfId="0" applyFont="1" applyBorder="1" applyAlignment="1" applyProtection="1">
      <alignment horizontal="center" vertical="center"/>
      <protection hidden="1"/>
    </xf>
    <xf numFmtId="175" fontId="10" fillId="0" borderId="122" xfId="4" applyNumberFormat="1" applyFont="1" applyFill="1" applyBorder="1" applyAlignment="1" applyProtection="1">
      <protection hidden="1"/>
    </xf>
    <xf numFmtId="175" fontId="10" fillId="0" borderId="114" xfId="4" applyNumberFormat="1" applyFont="1" applyFill="1" applyBorder="1" applyAlignment="1" applyProtection="1">
      <protection hidden="1"/>
    </xf>
    <xf numFmtId="175" fontId="10" fillId="0" borderId="10" xfId="4" applyNumberFormat="1" applyFont="1" applyFill="1" applyBorder="1" applyAlignment="1" applyProtection="1">
      <protection hidden="1"/>
    </xf>
    <xf numFmtId="175" fontId="10" fillId="0" borderId="8" xfId="4" applyNumberFormat="1" applyFont="1" applyFill="1" applyBorder="1" applyAlignment="1" applyProtection="1">
      <protection hidden="1"/>
    </xf>
    <xf numFmtId="188" fontId="10" fillId="0" borderId="28" xfId="0" quotePrefix="1" applyNumberFormat="1" applyFont="1" applyBorder="1" applyAlignment="1" applyProtection="1">
      <alignment horizontal="center" vertical="center"/>
      <protection hidden="1"/>
    </xf>
    <xf numFmtId="188" fontId="10" fillId="0" borderId="27" xfId="0" quotePrefix="1" applyNumberFormat="1" applyFont="1" applyBorder="1" applyAlignment="1" applyProtection="1">
      <alignment horizontal="center" vertical="center"/>
      <protection hidden="1"/>
    </xf>
    <xf numFmtId="188" fontId="10" fillId="0" borderId="29" xfId="8" quotePrefix="1" applyNumberFormat="1" applyFont="1" applyBorder="1" applyAlignment="1" applyProtection="1">
      <alignment horizontal="center" vertical="center"/>
      <protection hidden="1"/>
    </xf>
    <xf numFmtId="188" fontId="10" fillId="0" borderId="112" xfId="0" quotePrefix="1" applyNumberFormat="1" applyFont="1" applyBorder="1" applyAlignment="1" applyProtection="1">
      <alignment horizontal="center" vertical="center"/>
      <protection hidden="1"/>
    </xf>
    <xf numFmtId="0" fontId="9" fillId="0" borderId="0" xfId="0" applyNumberFormat="1" applyFont="1" applyProtection="1">
      <protection hidden="1"/>
    </xf>
    <xf numFmtId="170" fontId="9" fillId="0" borderId="10" xfId="0" applyNumberFormat="1" applyFont="1" applyBorder="1" applyAlignment="1" applyProtection="1">
      <alignment vertical="center"/>
      <protection hidden="1"/>
    </xf>
    <xf numFmtId="0" fontId="6" fillId="17" borderId="0" xfId="0" applyNumberFormat="1" applyFont="1" applyFill="1" applyBorder="1" applyAlignment="1" applyProtection="1">
      <protection hidden="1"/>
    </xf>
    <xf numFmtId="0" fontId="10" fillId="0" borderId="104" xfId="0" applyNumberFormat="1" applyFont="1" applyFill="1" applyBorder="1" applyAlignment="1" applyProtection="1">
      <alignment horizontal="center" vertical="center" wrapText="1"/>
      <protection hidden="1"/>
    </xf>
    <xf numFmtId="182" fontId="9" fillId="0" borderId="105" xfId="0" applyNumberFormat="1" applyFont="1" applyFill="1" applyBorder="1" applyAlignment="1" applyProtection="1">
      <protection hidden="1"/>
    </xf>
    <xf numFmtId="182" fontId="9" fillId="0" borderId="14" xfId="0" applyNumberFormat="1" applyFont="1" applyFill="1" applyBorder="1" applyAlignment="1" applyProtection="1">
      <alignment vertical="center"/>
      <protection hidden="1"/>
    </xf>
    <xf numFmtId="0" fontId="10" fillId="0" borderId="33" xfId="0" applyFont="1" applyFill="1" applyBorder="1" applyAlignment="1" applyProtection="1">
      <alignment horizontal="center" vertical="center"/>
      <protection hidden="1"/>
    </xf>
    <xf numFmtId="0" fontId="9" fillId="0" borderId="0" xfId="0" applyFont="1" applyAlignment="1" applyProtection="1">
      <protection hidden="1"/>
    </xf>
    <xf numFmtId="0" fontId="9" fillId="0" borderId="114" xfId="0" applyFont="1" applyBorder="1" applyAlignment="1" applyProtection="1">
      <alignment horizontal="center"/>
      <protection hidden="1"/>
    </xf>
    <xf numFmtId="0" fontId="9" fillId="0" borderId="8" xfId="0" applyFont="1" applyBorder="1" applyAlignment="1" applyProtection="1">
      <alignment horizontal="center"/>
      <protection hidden="1"/>
    </xf>
    <xf numFmtId="0" fontId="9" fillId="0" borderId="16" xfId="0" applyFont="1" applyBorder="1" applyAlignment="1" applyProtection="1">
      <alignment horizontal="center" vertical="center"/>
      <protection hidden="1"/>
    </xf>
    <xf numFmtId="180" fontId="6" fillId="7" borderId="0" xfId="4" applyNumberFormat="1" applyFont="1" applyFill="1" applyBorder="1" applyAlignment="1" applyProtection="1">
      <alignment vertical="center"/>
      <protection hidden="1"/>
    </xf>
    <xf numFmtId="0" fontId="6" fillId="7" borderId="8" xfId="4" applyNumberFormat="1" applyFont="1" applyFill="1" applyBorder="1" applyAlignment="1" applyProtection="1">
      <alignment vertical="center"/>
      <protection hidden="1"/>
    </xf>
    <xf numFmtId="0" fontId="6" fillId="7" borderId="114" xfId="4" applyNumberFormat="1" applyFont="1" applyFill="1" applyBorder="1" applyAlignment="1" applyProtection="1">
      <protection hidden="1"/>
    </xf>
    <xf numFmtId="0" fontId="6" fillId="7" borderId="8" xfId="4" applyNumberFormat="1" applyFont="1" applyFill="1" applyBorder="1" applyAlignment="1" applyProtection="1">
      <protection hidden="1"/>
    </xf>
    <xf numFmtId="0" fontId="6" fillId="7" borderId="16" xfId="4" applyNumberFormat="1" applyFont="1" applyFill="1" applyBorder="1" applyAlignment="1" applyProtection="1">
      <protection hidden="1"/>
    </xf>
    <xf numFmtId="176" fontId="6" fillId="7" borderId="115" xfId="4" applyNumberFormat="1" applyFont="1" applyFill="1" applyBorder="1" applyAlignment="1" applyProtection="1">
      <alignment vertical="center"/>
      <protection hidden="1"/>
    </xf>
    <xf numFmtId="176" fontId="6" fillId="7" borderId="116" xfId="4" applyNumberFormat="1" applyFont="1" applyFill="1" applyBorder="1" applyAlignment="1" applyProtection="1">
      <alignment vertical="center"/>
      <protection hidden="1"/>
    </xf>
    <xf numFmtId="176" fontId="7" fillId="7" borderId="48" xfId="4" applyNumberFormat="1" applyFont="1" applyFill="1" applyBorder="1" applyAlignment="1" applyProtection="1">
      <alignment vertical="center"/>
      <protection hidden="1"/>
    </xf>
    <xf numFmtId="0" fontId="6" fillId="0" borderId="0" xfId="5" applyNumberFormat="1" applyFont="1" applyFill="1" applyBorder="1" applyAlignment="1"/>
    <xf numFmtId="175" fontId="6" fillId="0" borderId="117" xfId="11" applyNumberFormat="1" applyFont="1" applyFill="1" applyBorder="1" applyAlignment="1"/>
    <xf numFmtId="175" fontId="6" fillId="0" borderId="7" xfId="11" applyNumberFormat="1" applyFont="1" applyFill="1" applyBorder="1" applyAlignment="1"/>
    <xf numFmtId="175" fontId="6" fillId="0" borderId="0" xfId="11" applyNumberFormat="1" applyFont="1" applyFill="1" applyBorder="1" applyAlignment="1"/>
    <xf numFmtId="0" fontId="7" fillId="0" borderId="103" xfId="11" applyFont="1" applyBorder="1" applyAlignment="1" applyProtection="1">
      <alignment horizontal="center" vertical="center"/>
      <protection hidden="1"/>
    </xf>
    <xf numFmtId="175" fontId="6" fillId="0" borderId="110" xfId="11" applyNumberFormat="1" applyFont="1" applyFill="1" applyBorder="1" applyAlignment="1"/>
    <xf numFmtId="175" fontId="6" fillId="0" borderId="103" xfId="11" applyNumberFormat="1" applyFont="1" applyFill="1" applyBorder="1" applyAlignment="1"/>
    <xf numFmtId="175" fontId="10" fillId="0" borderId="73" xfId="0" applyNumberFormat="1" applyFont="1" applyBorder="1" applyAlignment="1" applyProtection="1">
      <alignment vertical="center"/>
      <protection hidden="1"/>
    </xf>
    <xf numFmtId="175" fontId="6" fillId="0" borderId="119" xfId="11" applyNumberFormat="1" applyFont="1" applyFill="1" applyBorder="1" applyAlignment="1"/>
    <xf numFmtId="175" fontId="6" fillId="0" borderId="6" xfId="11" applyNumberFormat="1" applyFont="1" applyFill="1" applyBorder="1" applyAlignment="1"/>
    <xf numFmtId="175" fontId="6" fillId="0" borderId="7" xfId="12" applyNumberFormat="1" applyFont="1" applyBorder="1"/>
    <xf numFmtId="0" fontId="6" fillId="0" borderId="0" xfId="5" applyNumberFormat="1" applyFont="1" applyFill="1" applyBorder="1" applyAlignment="1" applyProtection="1">
      <protection hidden="1"/>
    </xf>
    <xf numFmtId="0" fontId="6" fillId="0" borderId="0" xfId="8" quotePrefix="1" applyNumberFormat="1" applyFont="1" applyFill="1" applyBorder="1" applyAlignment="1"/>
    <xf numFmtId="175" fontId="6" fillId="0" borderId="0" xfId="12" applyNumberFormat="1" applyFont="1" applyBorder="1" applyAlignment="1"/>
    <xf numFmtId="175" fontId="6" fillId="0" borderId="103" xfId="12" applyNumberFormat="1" applyFont="1" applyBorder="1"/>
    <xf numFmtId="0" fontId="7" fillId="0" borderId="8" xfId="11" applyFont="1" applyBorder="1" applyAlignment="1" applyProtection="1">
      <alignment horizontal="center" vertical="center"/>
      <protection hidden="1"/>
    </xf>
    <xf numFmtId="0" fontId="6" fillId="0" borderId="0" xfId="12" applyNumberFormat="1" applyFont="1" applyBorder="1" applyAlignment="1"/>
    <xf numFmtId="0" fontId="6" fillId="0" borderId="0" xfId="8" quotePrefix="1" applyNumberFormat="1" applyFont="1" applyBorder="1" applyAlignment="1"/>
    <xf numFmtId="0" fontId="9" fillId="0" borderId="0" xfId="0" applyNumberFormat="1" applyFont="1" applyBorder="1" applyAlignment="1" applyProtection="1">
      <protection hidden="1"/>
    </xf>
    <xf numFmtId="175" fontId="6" fillId="0" borderId="8" xfId="11" applyNumberFormat="1" applyFont="1" applyFill="1" applyBorder="1" applyAlignment="1"/>
    <xf numFmtId="0" fontId="9" fillId="0" borderId="0" xfId="0" applyNumberFormat="1" applyFont="1" applyFill="1" applyBorder="1" applyProtection="1">
      <protection hidden="1"/>
    </xf>
    <xf numFmtId="0" fontId="6" fillId="0" borderId="0" xfId="12" applyNumberFormat="1" applyFont="1" applyFill="1" applyBorder="1" applyAlignment="1"/>
    <xf numFmtId="0" fontId="6" fillId="0" borderId="0" xfId="5" applyNumberFormat="1" applyFont="1" applyFill="1" applyBorder="1" applyAlignment="1" applyProtection="1">
      <alignment wrapText="1"/>
      <protection hidden="1"/>
    </xf>
    <xf numFmtId="0" fontId="6" fillId="0" borderId="0" xfId="0" applyNumberFormat="1" applyFont="1" applyFill="1" applyBorder="1" applyAlignment="1" applyProtection="1">
      <alignment wrapText="1"/>
      <protection hidden="1"/>
    </xf>
    <xf numFmtId="0" fontId="6" fillId="0" borderId="0" xfId="5" applyNumberFormat="1" applyFont="1" applyFill="1" applyBorder="1" applyAlignment="1">
      <alignment wrapText="1"/>
    </xf>
    <xf numFmtId="0" fontId="6" fillId="0" borderId="0" xfId="0" applyNumberFormat="1" applyFont="1" applyFill="1" applyBorder="1" applyAlignment="1">
      <alignment wrapText="1"/>
    </xf>
    <xf numFmtId="188" fontId="10" fillId="0" borderId="111" xfId="8" quotePrefix="1" applyNumberFormat="1" applyFont="1" applyBorder="1" applyAlignment="1" applyProtection="1">
      <alignment horizontal="center" vertical="center"/>
      <protection hidden="1"/>
    </xf>
    <xf numFmtId="188" fontId="10" fillId="0" borderId="42" xfId="8" quotePrefix="1" applyNumberFormat="1" applyFont="1" applyBorder="1" applyAlignment="1" applyProtection="1">
      <alignment horizontal="center" vertical="center"/>
      <protection hidden="1"/>
    </xf>
    <xf numFmtId="188" fontId="10" fillId="0" borderId="27" xfId="8" quotePrefix="1" applyNumberFormat="1" applyFont="1" applyBorder="1" applyAlignment="1" applyProtection="1">
      <alignment horizontal="center" vertical="center"/>
      <protection hidden="1"/>
    </xf>
    <xf numFmtId="175" fontId="7" fillId="5" borderId="123" xfId="0" applyNumberFormat="1" applyFont="1" applyFill="1" applyBorder="1" applyAlignment="1" applyProtection="1">
      <alignment vertical="center"/>
      <protection hidden="1"/>
    </xf>
    <xf numFmtId="188" fontId="7" fillId="5" borderId="28" xfId="0" quotePrefix="1" applyNumberFormat="1" applyFont="1" applyFill="1" applyBorder="1" applyAlignment="1" applyProtection="1">
      <alignment horizontal="center" vertical="center"/>
      <protection hidden="1"/>
    </xf>
    <xf numFmtId="188" fontId="7" fillId="5" borderId="29" xfId="0" quotePrefix="1" applyNumberFormat="1" applyFont="1" applyFill="1" applyBorder="1" applyAlignment="1" applyProtection="1">
      <alignment horizontal="center" vertical="center"/>
      <protection hidden="1"/>
    </xf>
    <xf numFmtId="188" fontId="7" fillId="3" borderId="15" xfId="0" quotePrefix="1" applyNumberFormat="1" applyFont="1" applyFill="1" applyBorder="1" applyAlignment="1" applyProtection="1">
      <alignment horizontal="center" vertical="center"/>
      <protection hidden="1"/>
    </xf>
    <xf numFmtId="188" fontId="7" fillId="3" borderId="13" xfId="0" quotePrefix="1" applyNumberFormat="1" applyFont="1" applyFill="1" applyBorder="1" applyAlignment="1" applyProtection="1">
      <alignment horizontal="center" vertical="center"/>
      <protection hidden="1"/>
    </xf>
    <xf numFmtId="188" fontId="7" fillId="3" borderId="16" xfId="0" quotePrefix="1" applyNumberFormat="1" applyFont="1" applyFill="1" applyBorder="1" applyAlignment="1" applyProtection="1">
      <alignment horizontal="center" vertical="center"/>
      <protection hidden="1"/>
    </xf>
    <xf numFmtId="188" fontId="7" fillId="4" borderId="73" xfId="0" quotePrefix="1" applyNumberFormat="1" applyFont="1" applyFill="1" applyBorder="1" applyAlignment="1" applyProtection="1">
      <alignment horizontal="center" vertical="center" wrapText="1"/>
      <protection hidden="1"/>
    </xf>
    <xf numFmtId="188" fontId="7" fillId="4" borderId="16" xfId="0" quotePrefix="1" applyNumberFormat="1" applyFont="1" applyFill="1" applyBorder="1" applyAlignment="1" applyProtection="1">
      <alignment horizontal="center" vertical="center" wrapText="1"/>
      <protection hidden="1"/>
    </xf>
    <xf numFmtId="188" fontId="7" fillId="5" borderId="73" xfId="0" quotePrefix="1" applyNumberFormat="1" applyFont="1" applyFill="1" applyBorder="1" applyAlignment="1" applyProtection="1">
      <alignment horizontal="center" vertical="center" wrapText="1"/>
      <protection hidden="1"/>
    </xf>
    <xf numFmtId="188" fontId="7" fillId="2" borderId="64" xfId="0" quotePrefix="1" applyNumberFormat="1" applyFont="1" applyFill="1" applyBorder="1" applyAlignment="1" applyProtection="1">
      <alignment horizontal="center" vertical="center"/>
      <protection hidden="1"/>
    </xf>
    <xf numFmtId="188" fontId="7" fillId="2" borderId="15" xfId="0" quotePrefix="1" applyNumberFormat="1" applyFont="1" applyFill="1" applyBorder="1" applyAlignment="1" applyProtection="1">
      <alignment horizontal="center" vertical="center"/>
      <protection hidden="1"/>
    </xf>
    <xf numFmtId="188" fontId="7" fillId="2" borderId="13" xfId="0" quotePrefix="1" applyNumberFormat="1" applyFont="1" applyFill="1" applyBorder="1" applyAlignment="1" applyProtection="1">
      <alignment horizontal="center" vertical="center"/>
      <protection hidden="1"/>
    </xf>
    <xf numFmtId="188" fontId="7" fillId="2" borderId="73" xfId="0" quotePrefix="1" applyNumberFormat="1" applyFont="1" applyFill="1" applyBorder="1" applyAlignment="1" applyProtection="1">
      <alignment horizontal="center" vertical="center"/>
      <protection hidden="1"/>
    </xf>
    <xf numFmtId="188" fontId="7" fillId="2" borderId="18" xfId="0" quotePrefix="1" applyNumberFormat="1" applyFont="1" applyFill="1" applyBorder="1" applyAlignment="1" applyProtection="1">
      <alignment horizontal="center" vertical="center"/>
      <protection hidden="1"/>
    </xf>
    <xf numFmtId="188" fontId="7" fillId="2" borderId="16" xfId="0" quotePrefix="1" applyNumberFormat="1" applyFont="1" applyFill="1" applyBorder="1" applyAlignment="1" applyProtection="1">
      <alignment horizontal="center" vertical="center"/>
      <protection hidden="1"/>
    </xf>
    <xf numFmtId="188" fontId="7" fillId="2" borderId="34" xfId="0" quotePrefix="1" applyNumberFormat="1" applyFont="1" applyFill="1" applyBorder="1" applyAlignment="1" applyProtection="1">
      <alignment horizontal="center" vertical="center"/>
      <protection hidden="1"/>
    </xf>
    <xf numFmtId="188" fontId="7" fillId="2" borderId="17" xfId="0" quotePrefix="1" applyNumberFormat="1" applyFont="1" applyFill="1" applyBorder="1" applyAlignment="1" applyProtection="1">
      <alignment horizontal="center" vertical="center"/>
      <protection hidden="1"/>
    </xf>
    <xf numFmtId="188" fontId="7" fillId="3" borderId="18" xfId="0" quotePrefix="1" applyNumberFormat="1" applyFont="1" applyFill="1" applyBorder="1" applyAlignment="1" applyProtection="1">
      <alignment horizontal="center" vertical="center"/>
      <protection hidden="1"/>
    </xf>
    <xf numFmtId="188" fontId="7" fillId="3" borderId="73" xfId="0" quotePrefix="1" applyNumberFormat="1" applyFont="1" applyFill="1" applyBorder="1" applyAlignment="1" applyProtection="1">
      <alignment horizontal="center" vertical="center"/>
      <protection hidden="1"/>
    </xf>
    <xf numFmtId="169" fontId="7" fillId="3" borderId="24" xfId="0" applyNumberFormat="1" applyFont="1" applyFill="1" applyBorder="1" applyAlignment="1" applyProtection="1">
      <alignment horizontal="center" vertical="top"/>
      <protection hidden="1"/>
    </xf>
    <xf numFmtId="169" fontId="7" fillId="3" borderId="27" xfId="0" applyNumberFormat="1" applyFont="1" applyFill="1" applyBorder="1" applyAlignment="1" applyProtection="1">
      <alignment horizontal="center" vertical="center"/>
      <protection hidden="1"/>
    </xf>
    <xf numFmtId="180" fontId="6" fillId="3" borderId="15" xfId="0" applyNumberFormat="1" applyFont="1" applyFill="1" applyBorder="1" applyAlignment="1" applyProtection="1">
      <alignment vertical="center"/>
      <protection hidden="1"/>
    </xf>
    <xf numFmtId="188" fontId="7" fillId="5" borderId="73" xfId="0" quotePrefix="1" applyNumberFormat="1" applyFont="1" applyFill="1" applyBorder="1" applyAlignment="1" applyProtection="1">
      <alignment horizontal="center" vertical="center"/>
      <protection hidden="1"/>
    </xf>
    <xf numFmtId="188" fontId="7" fillId="5" borderId="16" xfId="0" quotePrefix="1" applyNumberFormat="1" applyFont="1" applyFill="1" applyBorder="1" applyAlignment="1" applyProtection="1">
      <alignment horizontal="center" vertical="center"/>
      <protection hidden="1"/>
    </xf>
    <xf numFmtId="188" fontId="7" fillId="5" borderId="18" xfId="0" quotePrefix="1" applyNumberFormat="1" applyFont="1" applyFill="1" applyBorder="1" applyAlignment="1" applyProtection="1">
      <alignment horizontal="center" vertical="center"/>
      <protection hidden="1"/>
    </xf>
    <xf numFmtId="188" fontId="7" fillId="5" borderId="17" xfId="0" quotePrefix="1" applyNumberFormat="1" applyFont="1" applyFill="1" applyBorder="1" applyAlignment="1" applyProtection="1">
      <alignment horizontal="center" vertical="center"/>
      <protection hidden="1"/>
    </xf>
    <xf numFmtId="0" fontId="7" fillId="5" borderId="26" xfId="0" applyFont="1" applyFill="1" applyBorder="1" applyAlignment="1" applyProtection="1">
      <alignment horizontal="left" vertical="center" indent="1"/>
      <protection hidden="1"/>
    </xf>
    <xf numFmtId="0" fontId="7" fillId="5" borderId="26" xfId="0" applyNumberFormat="1" applyFont="1" applyFill="1" applyBorder="1" applyAlignment="1" applyProtection="1">
      <alignment horizontal="center" vertical="center" wrapText="1"/>
      <protection hidden="1"/>
    </xf>
    <xf numFmtId="180" fontId="7" fillId="5" borderId="43" xfId="0" applyNumberFormat="1" applyFont="1" applyFill="1" applyBorder="1" applyAlignment="1" applyProtection="1">
      <alignment vertical="center"/>
      <protection hidden="1"/>
    </xf>
    <xf numFmtId="189" fontId="6" fillId="0" borderId="0" xfId="0" applyNumberFormat="1" applyFont="1" applyFill="1" applyAlignment="1" applyProtection="1">
      <alignment horizontal="center" vertical="center"/>
      <protection hidden="1"/>
    </xf>
    <xf numFmtId="169" fontId="7" fillId="9" borderId="24" xfId="0" applyNumberFormat="1" applyFont="1" applyFill="1" applyBorder="1" applyAlignment="1" applyProtection="1">
      <alignment horizontal="center" vertical="top"/>
      <protection hidden="1"/>
    </xf>
    <xf numFmtId="169" fontId="7" fillId="9" borderId="27" xfId="0" applyNumberFormat="1" applyFont="1" applyFill="1" applyBorder="1" applyAlignment="1" applyProtection="1">
      <alignment horizontal="center" vertical="center"/>
      <protection hidden="1"/>
    </xf>
    <xf numFmtId="180" fontId="6" fillId="9" borderId="15" xfId="0" applyNumberFormat="1" applyFont="1" applyFill="1" applyBorder="1" applyAlignment="1" applyProtection="1">
      <alignment vertical="center"/>
      <protection hidden="1"/>
    </xf>
    <xf numFmtId="0" fontId="7" fillId="9" borderId="62" xfId="0" applyFont="1" applyFill="1" applyBorder="1" applyAlignment="1" applyProtection="1">
      <alignment horizontal="center" vertical="center" wrapText="1"/>
      <protection hidden="1"/>
    </xf>
    <xf numFmtId="186" fontId="6" fillId="9" borderId="13" xfId="0" applyNumberFormat="1" applyFont="1" applyFill="1" applyBorder="1" applyAlignment="1" applyProtection="1">
      <alignment vertical="center"/>
      <protection hidden="1"/>
    </xf>
    <xf numFmtId="0" fontId="6" fillId="9" borderId="37" xfId="0" applyFont="1" applyFill="1" applyBorder="1" applyProtection="1">
      <protection hidden="1"/>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39" xfId="5" applyNumberFormat="1" applyFont="1" applyFill="1" applyBorder="1" applyAlignment="1" applyProtection="1">
      <alignment horizontal="left" vertical="center" wrapText="1" indent="1"/>
      <protection locked="0"/>
    </xf>
    <xf numFmtId="0" fontId="6" fillId="0" borderId="39"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43" xfId="5" applyNumberFormat="1" applyFont="1" applyFill="1" applyBorder="1" applyAlignment="1" applyProtection="1">
      <alignment horizontal="left" vertical="center" wrapText="1" indent="1"/>
      <protection locked="0"/>
    </xf>
    <xf numFmtId="0" fontId="6" fillId="0" borderId="124" xfId="5" applyNumberFormat="1" applyFont="1" applyFill="1" applyBorder="1" applyAlignment="1" applyProtection="1">
      <alignment horizontal="left" vertical="center" wrapText="1" indent="1"/>
      <protection locked="0"/>
    </xf>
    <xf numFmtId="0" fontId="6" fillId="0" borderId="124" xfId="5" applyNumberFormat="1" applyFont="1" applyFill="1" applyBorder="1" applyAlignment="1" applyProtection="1">
      <alignment horizontal="left" vertical="center" wrapText="1" indent="1"/>
      <protection locked="0"/>
    </xf>
    <xf numFmtId="0" fontId="6" fillId="0" borderId="125" xfId="5" applyNumberFormat="1" applyFont="1" applyFill="1" applyBorder="1" applyAlignment="1" applyProtection="1">
      <alignment horizontal="left" vertical="center" wrapText="1" indent="1"/>
      <protection locked="0"/>
    </xf>
    <xf numFmtId="0" fontId="7" fillId="9" borderId="21" xfId="0" applyFont="1" applyFill="1" applyBorder="1" applyAlignment="1" applyProtection="1">
      <alignment horizontal="center" vertical="center"/>
      <protection hidden="1"/>
    </xf>
    <xf numFmtId="0" fontId="7" fillId="9" borderId="58" xfId="0" applyFont="1" applyFill="1" applyBorder="1" applyAlignment="1" applyProtection="1">
      <alignment horizontal="center" vertical="center"/>
      <protection hidden="1"/>
    </xf>
    <xf numFmtId="0" fontId="7" fillId="9" borderId="25" xfId="0" applyFont="1" applyFill="1" applyBorder="1" applyAlignment="1" applyProtection="1">
      <alignment horizontal="center" vertical="top" wrapText="1"/>
      <protection hidden="1"/>
    </xf>
    <xf numFmtId="0" fontId="7" fillId="9" borderId="29" xfId="0" applyFont="1" applyFill="1" applyBorder="1" applyAlignment="1" applyProtection="1">
      <alignment horizontal="center" vertical="top" wrapText="1"/>
      <protection hidden="1"/>
    </xf>
    <xf numFmtId="172" fontId="7" fillId="0" borderId="104" xfId="4" applyNumberFormat="1" applyFont="1" applyFill="1" applyBorder="1" applyAlignment="1" applyProtection="1">
      <alignment horizontal="left" vertical="center" indent="1"/>
      <protection hidden="1"/>
    </xf>
    <xf numFmtId="172" fontId="7" fillId="0" borderId="32" xfId="4" applyNumberFormat="1" applyFont="1" applyFill="1" applyBorder="1" applyAlignment="1" applyProtection="1">
      <alignment horizontal="left" vertical="center" indent="1"/>
      <protection hidden="1"/>
    </xf>
    <xf numFmtId="0" fontId="7" fillId="17" borderId="0" xfId="4" applyFont="1" applyFill="1" applyAlignment="1" applyProtection="1">
      <alignment horizontal="center" vertical="top" wrapText="1"/>
      <protection hidden="1"/>
    </xf>
    <xf numFmtId="172" fontId="7" fillId="11" borderId="0" xfId="0" applyNumberFormat="1" applyFont="1" applyFill="1" applyBorder="1" applyAlignment="1" applyProtection="1">
      <alignment horizontal="center" vertical="center"/>
      <protection hidden="1"/>
    </xf>
    <xf numFmtId="0" fontId="7" fillId="5" borderId="46" xfId="4" applyFont="1" applyFill="1" applyBorder="1" applyAlignment="1" applyProtection="1">
      <alignment horizontal="center" vertical="center"/>
      <protection hidden="1"/>
    </xf>
    <xf numFmtId="0" fontId="7" fillId="5" borderId="82" xfId="4" applyFont="1" applyFill="1" applyBorder="1" applyAlignment="1" applyProtection="1">
      <alignment horizontal="center" vertical="center"/>
      <protection hidden="1"/>
    </xf>
    <xf numFmtId="0" fontId="7" fillId="5" borderId="83" xfId="4" applyFont="1" applyFill="1" applyBorder="1" applyAlignment="1" applyProtection="1">
      <alignment horizontal="center" vertical="center"/>
      <protection hidden="1"/>
    </xf>
    <xf numFmtId="0" fontId="7" fillId="5" borderId="39" xfId="0" applyNumberFormat="1" applyFont="1" applyFill="1" applyBorder="1" applyAlignment="1" applyProtection="1">
      <alignment horizontal="center" vertical="center"/>
      <protection hidden="1"/>
    </xf>
    <xf numFmtId="0" fontId="7" fillId="5" borderId="50" xfId="0" applyNumberFormat="1" applyFont="1" applyFill="1" applyBorder="1" applyAlignment="1" applyProtection="1">
      <alignment horizontal="center" vertical="center"/>
      <protection hidden="1"/>
    </xf>
    <xf numFmtId="172" fontId="7" fillId="5" borderId="40" xfId="0" applyNumberFormat="1" applyFont="1" applyFill="1" applyBorder="1" applyAlignment="1" applyProtection="1">
      <alignment horizontal="center" vertical="center"/>
      <protection hidden="1"/>
    </xf>
    <xf numFmtId="172" fontId="7" fillId="5" borderId="50" xfId="0" applyNumberFormat="1" applyFont="1" applyFill="1" applyBorder="1" applyAlignment="1" applyProtection="1">
      <alignment horizontal="center" vertical="center"/>
      <protection hidden="1"/>
    </xf>
    <xf numFmtId="172" fontId="7" fillId="5" borderId="35" xfId="0" applyNumberFormat="1" applyFont="1" applyFill="1" applyBorder="1" applyAlignment="1" applyProtection="1">
      <alignment horizontal="center" vertical="center"/>
      <protection hidden="1"/>
    </xf>
    <xf numFmtId="0" fontId="7" fillId="5" borderId="21" xfId="4" applyFont="1" applyFill="1" applyBorder="1" applyAlignment="1" applyProtection="1">
      <alignment horizontal="center" vertical="center" wrapText="1"/>
      <protection hidden="1"/>
    </xf>
    <xf numFmtId="0" fontId="7" fillId="5" borderId="58" xfId="4" applyFont="1" applyFill="1" applyBorder="1" applyAlignment="1" applyProtection="1">
      <alignment horizontal="center" vertical="center" wrapText="1"/>
      <protection hidden="1"/>
    </xf>
    <xf numFmtId="0" fontId="7" fillId="5" borderId="23" xfId="4" applyFont="1" applyFill="1" applyBorder="1" applyAlignment="1" applyProtection="1">
      <alignment horizontal="center" vertical="center" wrapText="1"/>
      <protection hidden="1"/>
    </xf>
    <xf numFmtId="0" fontId="7" fillId="5" borderId="10" xfId="4" applyFont="1" applyFill="1" applyBorder="1" applyAlignment="1" applyProtection="1">
      <alignment horizontal="center" vertical="center" wrapText="1"/>
      <protection hidden="1"/>
    </xf>
    <xf numFmtId="0" fontId="7" fillId="5" borderId="0" xfId="4" applyFont="1" applyFill="1" applyBorder="1" applyAlignment="1" applyProtection="1">
      <alignment horizontal="center" vertical="center" wrapText="1"/>
      <protection hidden="1"/>
    </xf>
    <xf numFmtId="0" fontId="7" fillId="5" borderId="11" xfId="4" applyFont="1" applyFill="1" applyBorder="1" applyAlignment="1" applyProtection="1">
      <alignment horizontal="center" vertical="center" wrapText="1"/>
      <protection hidden="1"/>
    </xf>
    <xf numFmtId="0" fontId="7" fillId="5" borderId="84" xfId="4" applyFont="1" applyFill="1" applyBorder="1" applyAlignment="1" applyProtection="1">
      <alignment horizontal="center" vertical="center"/>
      <protection hidden="1"/>
    </xf>
    <xf numFmtId="0" fontId="7" fillId="5" borderId="85" xfId="4" applyFont="1" applyFill="1" applyBorder="1" applyAlignment="1" applyProtection="1">
      <alignment horizontal="center" vertical="center"/>
      <protection hidden="1"/>
    </xf>
    <xf numFmtId="0" fontId="7" fillId="5" borderId="79" xfId="4" applyFont="1" applyFill="1" applyBorder="1" applyAlignment="1" applyProtection="1">
      <alignment horizontal="center" vertical="center"/>
      <protection hidden="1"/>
    </xf>
    <xf numFmtId="172" fontId="20" fillId="6" borderId="25" xfId="0" applyNumberFormat="1" applyFont="1" applyFill="1" applyBorder="1" applyAlignment="1" applyProtection="1">
      <alignment horizontal="center" vertical="top" wrapText="1"/>
      <protection hidden="1"/>
    </xf>
    <xf numFmtId="172" fontId="20" fillId="6" borderId="8" xfId="0" applyNumberFormat="1" applyFont="1" applyFill="1" applyBorder="1" applyAlignment="1" applyProtection="1">
      <alignment horizontal="center" vertical="top" wrapText="1"/>
      <protection hidden="1"/>
    </xf>
    <xf numFmtId="172" fontId="20" fillId="6" borderId="84" xfId="0" applyNumberFormat="1" applyFont="1" applyFill="1" applyBorder="1" applyAlignment="1" applyProtection="1">
      <alignment horizontal="center" vertical="center"/>
      <protection hidden="1"/>
    </xf>
    <xf numFmtId="172" fontId="20" fillId="6" borderId="85" xfId="0" applyNumberFormat="1" applyFont="1" applyFill="1" applyBorder="1" applyAlignment="1" applyProtection="1">
      <alignment horizontal="center" vertical="center"/>
      <protection hidden="1"/>
    </xf>
    <xf numFmtId="172" fontId="20" fillId="6" borderId="79" xfId="0" applyNumberFormat="1" applyFont="1" applyFill="1" applyBorder="1" applyAlignment="1" applyProtection="1">
      <alignment horizontal="center" vertical="center"/>
      <protection hidden="1"/>
    </xf>
    <xf numFmtId="172" fontId="7" fillId="6" borderId="0" xfId="0" applyNumberFormat="1" applyFont="1" applyFill="1" applyBorder="1" applyAlignment="1" applyProtection="1">
      <alignment horizontal="center" vertical="center"/>
      <protection hidden="1"/>
    </xf>
    <xf numFmtId="172" fontId="20" fillId="6" borderId="119" xfId="0" applyNumberFormat="1" applyFont="1" applyFill="1" applyBorder="1" applyAlignment="1" applyProtection="1">
      <alignment horizontal="center" vertical="top" wrapText="1"/>
      <protection hidden="1"/>
    </xf>
    <xf numFmtId="172" fontId="20" fillId="6" borderId="6" xfId="0" applyNumberFormat="1" applyFont="1" applyFill="1" applyBorder="1" applyAlignment="1" applyProtection="1">
      <alignment horizontal="center" vertical="top" wrapText="1"/>
      <protection hidden="1"/>
    </xf>
    <xf numFmtId="172" fontId="20" fillId="6" borderId="117" xfId="0" applyNumberFormat="1" applyFont="1" applyFill="1" applyBorder="1" applyAlignment="1" applyProtection="1">
      <alignment horizontal="center" vertical="top" wrapText="1"/>
      <protection hidden="1"/>
    </xf>
    <xf numFmtId="172" fontId="20" fillId="6" borderId="7" xfId="0" applyNumberFormat="1" applyFont="1" applyFill="1" applyBorder="1" applyAlignment="1" applyProtection="1">
      <alignment horizontal="center" vertical="top" wrapText="1"/>
      <protection hidden="1"/>
    </xf>
    <xf numFmtId="172" fontId="20" fillId="6" borderId="39" xfId="0" applyNumberFormat="1" applyFont="1" applyFill="1" applyBorder="1" applyAlignment="1" applyProtection="1">
      <alignment horizontal="center" vertical="center"/>
      <protection hidden="1"/>
    </xf>
    <xf numFmtId="172" fontId="20" fillId="6" borderId="118" xfId="0" applyNumberFormat="1" applyFont="1" applyFill="1" applyBorder="1" applyAlignment="1" applyProtection="1">
      <alignment horizontal="center" vertical="center"/>
      <protection hidden="1"/>
    </xf>
    <xf numFmtId="172" fontId="20" fillId="6" borderId="120" xfId="0" applyNumberFormat="1" applyFont="1" applyFill="1" applyBorder="1" applyAlignment="1" applyProtection="1">
      <alignment horizontal="center" vertical="center"/>
      <protection hidden="1"/>
    </xf>
    <xf numFmtId="172" fontId="20" fillId="6" borderId="114" xfId="0" applyNumberFormat="1" applyFont="1" applyFill="1" applyBorder="1" applyAlignment="1" applyProtection="1">
      <alignment horizontal="center" vertical="top" wrapText="1"/>
      <protection hidden="1"/>
    </xf>
    <xf numFmtId="172" fontId="7" fillId="5" borderId="72" xfId="0" applyNumberFormat="1" applyFont="1" applyFill="1" applyBorder="1" applyAlignment="1" applyProtection="1">
      <alignment horizontal="center" vertical="top" wrapText="1"/>
      <protection hidden="1"/>
    </xf>
    <xf numFmtId="172" fontId="7" fillId="5" borderId="6" xfId="0" applyNumberFormat="1" applyFont="1" applyFill="1" applyBorder="1" applyAlignment="1" applyProtection="1">
      <alignment horizontal="center" vertical="top" wrapText="1"/>
      <protection hidden="1"/>
    </xf>
    <xf numFmtId="172" fontId="21" fillId="11" borderId="21" xfId="0" applyNumberFormat="1" applyFont="1" applyFill="1" applyBorder="1" applyAlignment="1" applyProtection="1">
      <alignment horizontal="center" vertical="center"/>
      <protection hidden="1"/>
    </xf>
    <xf numFmtId="172" fontId="21" fillId="11" borderId="58" xfId="0" applyNumberFormat="1" applyFont="1" applyFill="1" applyBorder="1" applyAlignment="1" applyProtection="1">
      <alignment horizontal="center" vertical="center"/>
      <protection hidden="1"/>
    </xf>
    <xf numFmtId="172" fontId="21" fillId="11" borderId="23" xfId="0" applyNumberFormat="1" applyFont="1" applyFill="1" applyBorder="1" applyAlignment="1" applyProtection="1">
      <alignment horizontal="center" vertical="center"/>
      <protection hidden="1"/>
    </xf>
    <xf numFmtId="172" fontId="21" fillId="11" borderId="72" xfId="0" applyNumberFormat="1" applyFont="1" applyFill="1" applyBorder="1" applyAlignment="1" applyProtection="1">
      <alignment horizontal="center" vertical="top" wrapText="1"/>
      <protection hidden="1"/>
    </xf>
    <xf numFmtId="172" fontId="21" fillId="11" borderId="6" xfId="0" applyNumberFormat="1" applyFont="1" applyFill="1" applyBorder="1" applyAlignment="1" applyProtection="1">
      <alignment horizontal="center" vertical="top" wrapText="1"/>
      <protection hidden="1"/>
    </xf>
    <xf numFmtId="172" fontId="21" fillId="11" borderId="5" xfId="0" applyNumberFormat="1" applyFont="1" applyFill="1" applyBorder="1" applyAlignment="1" applyProtection="1">
      <alignment horizontal="center" vertical="top" wrapText="1"/>
      <protection hidden="1"/>
    </xf>
    <xf numFmtId="172" fontId="21" fillId="11" borderId="7" xfId="0" applyNumberFormat="1" applyFont="1" applyFill="1" applyBorder="1" applyAlignment="1" applyProtection="1">
      <alignment horizontal="center" vertical="top" wrapText="1"/>
      <protection hidden="1"/>
    </xf>
    <xf numFmtId="172" fontId="7" fillId="0" borderId="40" xfId="4" applyNumberFormat="1" applyFont="1" applyFill="1" applyBorder="1" applyAlignment="1" applyProtection="1">
      <alignment horizontal="left" vertical="center" indent="1"/>
      <protection hidden="1"/>
    </xf>
    <xf numFmtId="172" fontId="7" fillId="0" borderId="50" xfId="4" applyNumberFormat="1" applyFont="1" applyFill="1" applyBorder="1" applyAlignment="1" applyProtection="1">
      <alignment horizontal="left" vertical="center" indent="1"/>
      <protection hidden="1"/>
    </xf>
    <xf numFmtId="172" fontId="20" fillId="6" borderId="72" xfId="0" applyNumberFormat="1" applyFont="1" applyFill="1" applyBorder="1" applyAlignment="1" applyProtection="1">
      <alignment horizontal="center" vertical="top" wrapText="1"/>
      <protection hidden="1"/>
    </xf>
    <xf numFmtId="172" fontId="20" fillId="6" borderId="5" xfId="0" applyNumberFormat="1" applyFont="1" applyFill="1" applyBorder="1" applyAlignment="1" applyProtection="1">
      <alignment horizontal="center" vertical="top" wrapText="1"/>
      <protection hidden="1"/>
    </xf>
    <xf numFmtId="172" fontId="20" fillId="6" borderId="21" xfId="0" applyNumberFormat="1" applyFont="1" applyFill="1" applyBorder="1" applyAlignment="1" applyProtection="1">
      <alignment horizontal="center" vertical="center"/>
      <protection hidden="1"/>
    </xf>
    <xf numFmtId="172" fontId="20" fillId="6" borderId="58" xfId="0" applyNumberFormat="1" applyFont="1" applyFill="1" applyBorder="1" applyAlignment="1" applyProtection="1">
      <alignment horizontal="center" vertical="center"/>
      <protection hidden="1"/>
    </xf>
    <xf numFmtId="0" fontId="7" fillId="5" borderId="26" xfId="4" applyFont="1" applyFill="1" applyBorder="1" applyAlignment="1" applyProtection="1">
      <alignment horizontal="center" vertical="top" wrapText="1"/>
      <protection hidden="1"/>
    </xf>
    <xf numFmtId="0" fontId="7" fillId="5" borderId="12" xfId="4" applyFont="1" applyFill="1" applyBorder="1" applyAlignment="1" applyProtection="1">
      <alignment horizontal="center" vertical="top" wrapText="1"/>
      <protection hidden="1"/>
    </xf>
    <xf numFmtId="0" fontId="7" fillId="5" borderId="21" xfId="0" applyFont="1" applyFill="1" applyBorder="1" applyAlignment="1" applyProtection="1">
      <alignment horizontal="center" vertical="center"/>
      <protection hidden="1"/>
    </xf>
    <xf numFmtId="0" fontId="7" fillId="5" borderId="58" xfId="0" applyFont="1" applyFill="1" applyBorder="1" applyAlignment="1" applyProtection="1">
      <alignment horizontal="center" vertical="center"/>
      <protection hidden="1"/>
    </xf>
    <xf numFmtId="0" fontId="7" fillId="5" borderId="23" xfId="0" applyFont="1" applyFill="1" applyBorder="1" applyAlignment="1" applyProtection="1">
      <alignment horizontal="center" vertical="center"/>
      <protection hidden="1"/>
    </xf>
    <xf numFmtId="0" fontId="7" fillId="5" borderId="84" xfId="4" applyFont="1" applyFill="1" applyBorder="1" applyAlignment="1" applyProtection="1">
      <alignment horizontal="center" vertical="center" wrapText="1"/>
      <protection hidden="1"/>
    </xf>
    <xf numFmtId="0" fontId="7" fillId="5" borderId="6" xfId="4" applyFont="1" applyFill="1" applyBorder="1" applyAlignment="1" applyProtection="1">
      <alignment horizontal="center" vertical="top" wrapText="1"/>
      <protection hidden="1"/>
    </xf>
    <xf numFmtId="0" fontId="7" fillId="5" borderId="72" xfId="4" applyFont="1" applyFill="1" applyBorder="1" applyAlignment="1" applyProtection="1">
      <alignment horizontal="center" vertical="top" wrapText="1"/>
      <protection hidden="1"/>
    </xf>
    <xf numFmtId="0" fontId="7" fillId="2" borderId="5" xfId="0" applyFont="1" applyFill="1" applyBorder="1" applyAlignment="1" applyProtection="1">
      <alignment horizontal="center" vertical="top" wrapText="1"/>
      <protection hidden="1"/>
    </xf>
    <xf numFmtId="0" fontId="7" fillId="2" borderId="13" xfId="0" applyFont="1" applyFill="1" applyBorder="1" applyAlignment="1" applyProtection="1">
      <alignment horizontal="center" vertical="top" wrapText="1"/>
      <protection hidden="1"/>
    </xf>
    <xf numFmtId="0" fontId="7" fillId="2" borderId="24" xfId="0" applyFont="1" applyFill="1" applyBorder="1" applyAlignment="1" applyProtection="1">
      <alignment horizontal="center" vertical="top" wrapText="1"/>
      <protection hidden="1"/>
    </xf>
    <xf numFmtId="0" fontId="7" fillId="2" borderId="6" xfId="0" applyFont="1" applyFill="1" applyBorder="1" applyAlignment="1" applyProtection="1">
      <alignment horizontal="center" vertical="top" wrapText="1"/>
      <protection hidden="1"/>
    </xf>
    <xf numFmtId="0" fontId="7" fillId="2" borderId="22" xfId="0" applyFont="1" applyFill="1" applyBorder="1" applyAlignment="1" applyProtection="1">
      <alignment horizontal="center" vertical="top" wrapText="1"/>
      <protection hidden="1"/>
    </xf>
    <xf numFmtId="0" fontId="7" fillId="2" borderId="7" xfId="0" applyFont="1" applyFill="1" applyBorder="1" applyAlignment="1" applyProtection="1">
      <alignment horizontal="center" vertical="top" wrapText="1"/>
      <protection hidden="1"/>
    </xf>
    <xf numFmtId="0" fontId="7" fillId="2" borderId="47" xfId="0" applyFont="1" applyFill="1" applyBorder="1" applyAlignment="1" applyProtection="1">
      <alignment horizontal="center" vertical="center" wrapText="1"/>
      <protection hidden="1"/>
    </xf>
    <xf numFmtId="0" fontId="7" fillId="2" borderId="58" xfId="0" applyFont="1" applyFill="1" applyBorder="1" applyAlignment="1" applyProtection="1">
      <alignment horizontal="center" vertical="center" wrapText="1"/>
      <protection hidden="1"/>
    </xf>
    <xf numFmtId="0" fontId="7" fillId="2" borderId="23" xfId="0" applyFont="1" applyFill="1" applyBorder="1" applyAlignment="1" applyProtection="1">
      <alignment horizontal="center" vertical="center" wrapText="1"/>
      <protection hidden="1"/>
    </xf>
    <xf numFmtId="0" fontId="7" fillId="0" borderId="40" xfId="0" applyFont="1" applyFill="1" applyBorder="1" applyAlignment="1" applyProtection="1">
      <alignment horizontal="left" vertical="center" indent="1"/>
      <protection hidden="1"/>
    </xf>
    <xf numFmtId="0" fontId="7" fillId="0" borderId="50" xfId="0" applyFont="1" applyFill="1" applyBorder="1" applyAlignment="1" applyProtection="1">
      <alignment horizontal="left" vertical="center" indent="1"/>
      <protection hidden="1"/>
    </xf>
    <xf numFmtId="0" fontId="7" fillId="17" borderId="0" xfId="0" applyFont="1" applyFill="1" applyAlignment="1" applyProtection="1">
      <alignment horizontal="center" vertical="top" wrapText="1"/>
      <protection hidden="1"/>
    </xf>
    <xf numFmtId="0" fontId="7" fillId="2" borderId="72" xfId="0" applyFont="1" applyFill="1" applyBorder="1" applyAlignment="1" applyProtection="1">
      <alignment horizontal="center" vertical="top" wrapText="1"/>
      <protection hidden="1"/>
    </xf>
    <xf numFmtId="0" fontId="7" fillId="4" borderId="44" xfId="0" applyFont="1" applyFill="1" applyBorder="1" applyAlignment="1" applyProtection="1">
      <alignment horizontal="center" vertical="top" wrapText="1"/>
      <protection hidden="1"/>
    </xf>
    <xf numFmtId="0" fontId="7" fillId="4" borderId="9" xfId="0" applyFont="1" applyFill="1" applyBorder="1" applyAlignment="1" applyProtection="1">
      <alignment horizontal="center" vertical="top" wrapText="1"/>
      <protection hidden="1"/>
    </xf>
    <xf numFmtId="0" fontId="7" fillId="4" borderId="40" xfId="0" applyFont="1" applyFill="1" applyBorder="1" applyAlignment="1" applyProtection="1">
      <alignment horizontal="center" vertical="center" wrapText="1"/>
      <protection hidden="1"/>
    </xf>
    <xf numFmtId="0" fontId="7" fillId="4" borderId="50"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84" xfId="0" applyFont="1" applyFill="1" applyBorder="1" applyAlignment="1" applyProtection="1">
      <alignment horizontal="center" vertical="center" wrapText="1"/>
      <protection hidden="1"/>
    </xf>
    <xf numFmtId="0" fontId="7" fillId="4" borderId="85" xfId="0" applyFont="1" applyFill="1" applyBorder="1" applyAlignment="1" applyProtection="1">
      <alignment horizontal="center" vertical="center" wrapText="1"/>
      <protection hidden="1"/>
    </xf>
    <xf numFmtId="0" fontId="7" fillId="4" borderId="86" xfId="0" applyFont="1" applyFill="1" applyBorder="1" applyAlignment="1" applyProtection="1">
      <alignment horizontal="center" vertical="center" wrapText="1"/>
      <protection hidden="1"/>
    </xf>
    <xf numFmtId="0" fontId="6" fillId="0" borderId="85" xfId="0" applyFont="1" applyBorder="1" applyAlignment="1" applyProtection="1">
      <alignment horizontal="center" vertical="center" wrapText="1"/>
      <protection hidden="1"/>
    </xf>
    <xf numFmtId="0" fontId="6" fillId="0" borderId="79" xfId="0" applyFont="1" applyBorder="1" applyAlignment="1" applyProtection="1">
      <alignment horizontal="center" vertical="center" wrapText="1"/>
      <protection hidden="1"/>
    </xf>
    <xf numFmtId="0" fontId="7" fillId="4" borderId="86" xfId="0" applyFont="1" applyFill="1" applyBorder="1" applyAlignment="1" applyProtection="1">
      <alignment horizontal="center" vertical="center"/>
      <protection hidden="1"/>
    </xf>
    <xf numFmtId="0" fontId="7" fillId="4" borderId="85" xfId="0" applyFont="1" applyFill="1" applyBorder="1" applyAlignment="1" applyProtection="1">
      <alignment horizontal="center" vertical="center"/>
      <protection hidden="1"/>
    </xf>
    <xf numFmtId="0" fontId="7" fillId="4" borderId="79" xfId="0" applyFont="1" applyFill="1" applyBorder="1" applyAlignment="1" applyProtection="1">
      <alignment horizontal="center" vertical="center"/>
      <protection hidden="1"/>
    </xf>
    <xf numFmtId="0" fontId="7" fillId="4" borderId="40" xfId="0" applyFont="1" applyFill="1" applyBorder="1" applyAlignment="1" applyProtection="1">
      <alignment horizontal="center" vertical="center"/>
      <protection hidden="1"/>
    </xf>
    <xf numFmtId="0" fontId="7" fillId="4" borderId="35" xfId="0" applyFont="1" applyFill="1" applyBorder="1" applyAlignment="1" applyProtection="1">
      <alignment horizontal="center" vertical="center"/>
      <protection hidden="1"/>
    </xf>
    <xf numFmtId="0" fontId="7" fillId="0" borderId="104" xfId="0" applyFont="1" applyFill="1" applyBorder="1" applyAlignment="1" applyProtection="1">
      <alignment horizontal="left" vertical="center" indent="1"/>
      <protection hidden="1"/>
    </xf>
    <xf numFmtId="0" fontId="7" fillId="0" borderId="32" xfId="0" applyFont="1" applyFill="1" applyBorder="1" applyAlignment="1" applyProtection="1">
      <alignment horizontal="left" vertical="center" indent="1"/>
      <protection hidden="1"/>
    </xf>
    <xf numFmtId="0" fontId="7" fillId="4" borderId="79" xfId="0" applyFont="1" applyFill="1" applyBorder="1" applyAlignment="1" applyProtection="1">
      <alignment horizontal="center" vertical="center" wrapText="1"/>
      <protection hidden="1"/>
    </xf>
    <xf numFmtId="0" fontId="7" fillId="4" borderId="26" xfId="0" applyFont="1" applyFill="1" applyBorder="1" applyAlignment="1" applyProtection="1">
      <alignment horizontal="center" vertical="center" wrapText="1"/>
      <protection hidden="1"/>
    </xf>
    <xf numFmtId="0" fontId="7" fillId="4" borderId="12" xfId="0" applyFont="1" applyFill="1" applyBorder="1" applyAlignment="1" applyProtection="1">
      <alignment horizontal="center" vertical="center" wrapText="1"/>
      <protection hidden="1"/>
    </xf>
    <xf numFmtId="0" fontId="7" fillId="2" borderId="84" xfId="0" applyFont="1" applyFill="1" applyBorder="1" applyAlignment="1" applyProtection="1">
      <alignment horizontal="center" vertical="center" wrapText="1"/>
      <protection hidden="1"/>
    </xf>
    <xf numFmtId="0" fontId="7" fillId="2" borderId="85" xfId="0" applyFont="1" applyFill="1" applyBorder="1" applyAlignment="1" applyProtection="1">
      <alignment horizontal="center" vertical="center" wrapText="1"/>
      <protection hidden="1"/>
    </xf>
    <xf numFmtId="0" fontId="7" fillId="2" borderId="79" xfId="0" applyFont="1" applyFill="1" applyBorder="1" applyAlignment="1" applyProtection="1">
      <alignment horizontal="center" vertical="center" wrapText="1"/>
      <protection hidden="1"/>
    </xf>
    <xf numFmtId="0" fontId="7" fillId="9" borderId="5" xfId="0" applyFont="1" applyFill="1" applyBorder="1" applyAlignment="1" applyProtection="1">
      <alignment horizontal="center" vertical="top" wrapText="1"/>
      <protection hidden="1"/>
    </xf>
    <xf numFmtId="0" fontId="7" fillId="9" borderId="7" xfId="0" applyFont="1" applyFill="1" applyBorder="1" applyAlignment="1" applyProtection="1">
      <alignment horizontal="center" vertical="top" wrapText="1"/>
      <protection hidden="1"/>
    </xf>
    <xf numFmtId="0" fontId="7" fillId="4" borderId="84" xfId="0" applyFont="1" applyFill="1" applyBorder="1" applyAlignment="1" applyProtection="1">
      <alignment horizontal="center" vertical="center"/>
      <protection hidden="1"/>
    </xf>
    <xf numFmtId="0" fontId="7" fillId="3" borderId="34" xfId="9" applyFont="1" applyFill="1" applyBorder="1" applyAlignment="1" applyProtection="1">
      <alignment horizontal="center" vertical="center"/>
      <protection hidden="1"/>
    </xf>
    <xf numFmtId="0" fontId="7" fillId="3" borderId="64" xfId="9" applyFont="1" applyFill="1" applyBorder="1" applyAlignment="1" applyProtection="1">
      <alignment horizontal="center" vertical="center"/>
      <protection hidden="1"/>
    </xf>
    <xf numFmtId="0" fontId="7" fillId="3" borderId="17" xfId="9" applyFont="1" applyFill="1" applyBorder="1" applyAlignment="1" applyProtection="1">
      <alignment horizontal="center" vertical="center"/>
      <protection hidden="1"/>
    </xf>
    <xf numFmtId="0" fontId="7" fillId="3" borderId="11" xfId="9" applyFont="1" applyFill="1" applyBorder="1" applyAlignment="1" applyProtection="1">
      <alignment horizontal="center" vertical="top" wrapText="1"/>
      <protection hidden="1"/>
    </xf>
    <xf numFmtId="0" fontId="7" fillId="3" borderId="46" xfId="9" applyFont="1" applyFill="1" applyBorder="1" applyAlignment="1" applyProtection="1">
      <alignment horizontal="center" vertical="center"/>
      <protection hidden="1"/>
    </xf>
    <xf numFmtId="0" fontId="7" fillId="3" borderId="82" xfId="9" applyFont="1" applyFill="1" applyBorder="1" applyAlignment="1" applyProtection="1">
      <alignment horizontal="center" vertical="center"/>
      <protection hidden="1"/>
    </xf>
    <xf numFmtId="0" fontId="7" fillId="3" borderId="83" xfId="9" applyFont="1" applyFill="1" applyBorder="1" applyAlignment="1" applyProtection="1">
      <alignment horizontal="center" vertical="center"/>
      <protection hidden="1"/>
    </xf>
    <xf numFmtId="0" fontId="7" fillId="2" borderId="44" xfId="0" applyFont="1" applyFill="1" applyBorder="1" applyAlignment="1" applyProtection="1">
      <alignment horizontal="center" vertical="center" wrapText="1"/>
      <protection hidden="1"/>
    </xf>
    <xf numFmtId="0" fontId="7" fillId="2" borderId="65" xfId="0" applyFont="1" applyFill="1" applyBorder="1" applyAlignment="1" applyProtection="1">
      <alignment horizontal="center" vertical="center" wrapText="1"/>
      <protection hidden="1"/>
    </xf>
    <xf numFmtId="0" fontId="7" fillId="2" borderId="45" xfId="0" applyFont="1" applyFill="1" applyBorder="1" applyAlignment="1" applyProtection="1">
      <alignment horizontal="center" vertical="center" wrapText="1"/>
      <protection hidden="1"/>
    </xf>
    <xf numFmtId="0" fontId="7" fillId="2" borderId="21" xfId="0" applyFont="1" applyFill="1" applyBorder="1" applyAlignment="1" applyProtection="1">
      <alignment horizontal="center" vertical="center"/>
      <protection hidden="1"/>
    </xf>
    <xf numFmtId="0" fontId="7" fillId="2" borderId="58" xfId="0" applyFont="1" applyFill="1" applyBorder="1" applyAlignment="1" applyProtection="1">
      <alignment horizontal="center" vertical="center"/>
      <protection hidden="1"/>
    </xf>
    <xf numFmtId="0" fontId="7" fillId="2" borderId="23" xfId="0" applyFont="1" applyFill="1" applyBorder="1" applyAlignment="1" applyProtection="1">
      <alignment horizontal="center" vertical="center"/>
      <protection hidden="1"/>
    </xf>
    <xf numFmtId="0" fontId="7" fillId="17" borderId="84" xfId="0" applyFont="1" applyFill="1" applyBorder="1" applyAlignment="1" applyProtection="1">
      <alignment horizontal="center" vertical="center"/>
      <protection hidden="1"/>
    </xf>
    <xf numFmtId="0" fontId="7" fillId="17" borderId="85" xfId="0" applyFont="1" applyFill="1" applyBorder="1" applyAlignment="1" applyProtection="1">
      <alignment horizontal="center" vertical="center"/>
      <protection hidden="1"/>
    </xf>
    <xf numFmtId="0" fontId="7" fillId="17" borderId="79" xfId="0" applyFont="1" applyFill="1" applyBorder="1" applyAlignment="1" applyProtection="1">
      <alignment horizontal="center" vertical="center"/>
      <protection hidden="1"/>
    </xf>
    <xf numFmtId="0" fontId="7" fillId="17" borderId="72" xfId="0" applyFont="1" applyFill="1" applyBorder="1" applyAlignment="1" applyProtection="1">
      <alignment horizontal="center" vertical="top" wrapText="1"/>
      <protection hidden="1"/>
    </xf>
    <xf numFmtId="0" fontId="7" fillId="17" borderId="6" xfId="0" applyFont="1" applyFill="1" applyBorder="1" applyAlignment="1" applyProtection="1">
      <alignment horizontal="center" vertical="top" wrapText="1"/>
      <protection hidden="1"/>
    </xf>
    <xf numFmtId="0" fontId="7" fillId="17" borderId="15" xfId="0" applyFont="1" applyFill="1" applyBorder="1" applyAlignment="1" applyProtection="1">
      <alignment horizontal="center" vertical="top" wrapText="1"/>
      <protection hidden="1"/>
    </xf>
    <xf numFmtId="0" fontId="7" fillId="17" borderId="5" xfId="0" applyFont="1" applyFill="1" applyBorder="1" applyAlignment="1" applyProtection="1">
      <alignment horizontal="center" vertical="top" wrapText="1"/>
      <protection hidden="1"/>
    </xf>
    <xf numFmtId="0" fontId="7" fillId="17" borderId="7" xfId="0" applyFont="1" applyFill="1" applyBorder="1" applyAlignment="1" applyProtection="1">
      <alignment horizontal="center" vertical="top" wrapText="1"/>
      <protection hidden="1"/>
    </xf>
    <xf numFmtId="0" fontId="7" fillId="17" borderId="13" xfId="0" applyFont="1" applyFill="1" applyBorder="1" applyAlignment="1" applyProtection="1">
      <alignment horizontal="center" vertical="top" wrapText="1"/>
      <protection hidden="1"/>
    </xf>
    <xf numFmtId="0" fontId="7" fillId="17" borderId="4" xfId="0" applyFont="1" applyFill="1" applyBorder="1" applyAlignment="1" applyProtection="1">
      <alignment horizontal="center" vertical="top" wrapText="1"/>
      <protection hidden="1"/>
    </xf>
    <xf numFmtId="0" fontId="7" fillId="17" borderId="8" xfId="0" applyFont="1" applyFill="1" applyBorder="1" applyAlignment="1" applyProtection="1">
      <alignment horizontal="center" vertical="top" wrapText="1"/>
      <protection hidden="1"/>
    </xf>
    <xf numFmtId="0" fontId="7" fillId="17" borderId="16" xfId="0" applyFont="1" applyFill="1" applyBorder="1" applyAlignment="1" applyProtection="1">
      <alignment horizontal="center" vertical="top" wrapText="1"/>
      <protection hidden="1"/>
    </xf>
    <xf numFmtId="0" fontId="7" fillId="2" borderId="28" xfId="0" applyFont="1" applyFill="1" applyBorder="1" applyAlignment="1" applyProtection="1">
      <alignment horizontal="center" vertical="top" wrapText="1"/>
      <protection hidden="1"/>
    </xf>
    <xf numFmtId="0" fontId="7" fillId="0" borderId="40" xfId="0" quotePrefix="1" applyFont="1" applyFill="1" applyBorder="1" applyAlignment="1" applyProtection="1">
      <alignment horizontal="left" vertical="center" indent="1"/>
      <protection hidden="1"/>
    </xf>
    <xf numFmtId="0" fontId="7" fillId="0" borderId="50" xfId="0" quotePrefix="1" applyFont="1" applyFill="1" applyBorder="1" applyAlignment="1" applyProtection="1">
      <alignment horizontal="left" vertical="center" indent="1"/>
      <protection hidden="1"/>
    </xf>
    <xf numFmtId="0" fontId="7" fillId="0" borderId="32" xfId="0" quotePrefix="1" applyFont="1" applyFill="1" applyBorder="1" applyAlignment="1" applyProtection="1">
      <alignment horizontal="left" vertical="center" indent="1"/>
      <protection hidden="1"/>
    </xf>
    <xf numFmtId="0" fontId="7" fillId="3" borderId="26" xfId="0" applyFont="1" applyFill="1" applyBorder="1" applyAlignment="1" applyProtection="1">
      <alignment horizontal="center" vertical="top" wrapText="1"/>
      <protection hidden="1"/>
    </xf>
    <xf numFmtId="0" fontId="7" fillId="3" borderId="12" xfId="0" applyFont="1" applyFill="1" applyBorder="1" applyAlignment="1" applyProtection="1">
      <alignment horizontal="center" vertical="top" wrapText="1"/>
      <protection hidden="1"/>
    </xf>
    <xf numFmtId="0" fontId="7" fillId="9" borderId="22" xfId="0" applyFont="1" applyFill="1" applyBorder="1" applyAlignment="1" applyProtection="1">
      <alignment horizontal="center" vertical="top" wrapText="1"/>
      <protection hidden="1"/>
    </xf>
    <xf numFmtId="0" fontId="7" fillId="9" borderId="28" xfId="0" applyFont="1" applyFill="1" applyBorder="1" applyAlignment="1" applyProtection="1">
      <alignment horizontal="center" vertical="top" wrapText="1"/>
      <protection hidden="1"/>
    </xf>
    <xf numFmtId="0" fontId="7" fillId="9" borderId="84" xfId="0" applyFont="1" applyFill="1" applyBorder="1" applyAlignment="1" applyProtection="1">
      <alignment horizontal="left" vertical="center" wrapText="1" indent="1"/>
      <protection hidden="1"/>
    </xf>
    <xf numFmtId="0" fontId="7" fillId="9" borderId="85" xfId="0" applyFont="1" applyFill="1" applyBorder="1" applyAlignment="1" applyProtection="1">
      <alignment horizontal="left" vertical="center" wrapText="1" indent="1"/>
      <protection hidden="1"/>
    </xf>
    <xf numFmtId="0" fontId="7" fillId="9" borderId="78" xfId="0" applyFont="1" applyFill="1" applyBorder="1" applyAlignment="1" applyProtection="1">
      <alignment horizontal="left" vertical="center" wrapText="1" indent="1"/>
      <protection hidden="1"/>
    </xf>
    <xf numFmtId="0" fontId="7" fillId="9" borderId="63" xfId="0" applyFont="1" applyFill="1" applyBorder="1" applyAlignment="1" applyProtection="1">
      <alignment horizontal="left" vertical="center" wrapText="1" indent="1"/>
      <protection hidden="1"/>
    </xf>
    <xf numFmtId="0" fontId="7" fillId="9" borderId="94" xfId="0" applyFont="1" applyFill="1" applyBorder="1" applyAlignment="1" applyProtection="1">
      <alignment horizontal="left" vertical="center" wrapText="1" indent="1"/>
      <protection hidden="1"/>
    </xf>
    <xf numFmtId="0" fontId="7" fillId="9" borderId="52" xfId="0" applyFont="1" applyFill="1" applyBorder="1" applyAlignment="1" applyProtection="1">
      <alignment horizontal="left" vertical="center" wrapText="1" indent="1"/>
      <protection hidden="1"/>
    </xf>
    <xf numFmtId="0" fontId="7" fillId="5" borderId="6" xfId="0" applyFont="1" applyFill="1" applyBorder="1" applyAlignment="1" applyProtection="1">
      <alignment horizontal="left" vertical="center" wrapText="1" indent="1"/>
      <protection hidden="1"/>
    </xf>
    <xf numFmtId="0" fontId="7" fillId="9" borderId="47" xfId="0" applyFont="1" applyFill="1" applyBorder="1" applyAlignment="1" applyProtection="1">
      <alignment horizontal="center" vertical="top" wrapText="1"/>
      <protection hidden="1"/>
    </xf>
    <xf numFmtId="0" fontId="7" fillId="9" borderId="23" xfId="0" applyFont="1" applyFill="1" applyBorder="1" applyAlignment="1" applyProtection="1">
      <alignment horizontal="center" vertical="top" wrapText="1"/>
      <protection hidden="1"/>
    </xf>
    <xf numFmtId="183" fontId="6" fillId="9" borderId="54" xfId="0" applyNumberFormat="1" applyFont="1" applyFill="1" applyBorder="1" applyAlignment="1" applyProtection="1">
      <alignment horizontal="center" vertical="center"/>
      <protection hidden="1"/>
    </xf>
    <xf numFmtId="183" fontId="6" fillId="9" borderId="53" xfId="0" applyNumberFormat="1" applyFont="1" applyFill="1" applyBorder="1" applyAlignment="1" applyProtection="1">
      <alignment horizontal="center" vertical="center"/>
      <protection hidden="1"/>
    </xf>
    <xf numFmtId="0" fontId="7" fillId="0" borderId="105" xfId="0" applyFont="1" applyFill="1" applyBorder="1" applyAlignment="1" applyProtection="1">
      <alignment horizontal="center" vertical="center" wrapText="1"/>
      <protection hidden="1"/>
    </xf>
    <xf numFmtId="0" fontId="7" fillId="0" borderId="9" xfId="0" applyFont="1" applyFill="1" applyBorder="1" applyAlignment="1" applyProtection="1">
      <alignment horizontal="center" vertical="center" wrapText="1"/>
      <protection hidden="1"/>
    </xf>
    <xf numFmtId="0" fontId="7" fillId="0" borderId="40" xfId="0" applyNumberFormat="1" applyFont="1" applyFill="1" applyBorder="1" applyAlignment="1" applyProtection="1">
      <alignment horizontal="center" vertical="center"/>
      <protection hidden="1"/>
    </xf>
    <xf numFmtId="0" fontId="7" fillId="0" borderId="32" xfId="0" applyNumberFormat="1" applyFont="1" applyFill="1" applyBorder="1" applyAlignment="1" applyProtection="1">
      <alignment horizontal="center" vertical="center"/>
      <protection hidden="1"/>
    </xf>
    <xf numFmtId="0" fontId="6" fillId="0" borderId="39" xfId="5" applyNumberFormat="1" applyFont="1" applyFill="1" applyBorder="1" applyAlignment="1" applyProtection="1">
      <alignment horizontal="left" vertical="center" wrapText="1" indent="1"/>
      <protection locked="0"/>
    </xf>
    <xf numFmtId="0" fontId="0" fillId="0" borderId="50" xfId="0" applyBorder="1" applyAlignment="1" applyProtection="1">
      <alignment horizontal="left" vertical="center" wrapText="1" indent="1"/>
      <protection locked="0"/>
    </xf>
    <xf numFmtId="0" fontId="0" fillId="0" borderId="87" xfId="0" applyBorder="1" applyAlignment="1" applyProtection="1">
      <alignment horizontal="left" vertical="center" wrapText="1" indent="1"/>
      <protection locked="0"/>
    </xf>
    <xf numFmtId="0" fontId="6" fillId="0" borderId="50" xfId="5" applyNumberFormat="1" applyFont="1" applyFill="1" applyBorder="1" applyAlignment="1" applyProtection="1">
      <alignment horizontal="left" vertical="center" wrapText="1" indent="1"/>
      <protection locked="0"/>
    </xf>
    <xf numFmtId="0" fontId="6" fillId="0" borderId="87" xfId="5" applyNumberFormat="1" applyFont="1" applyFill="1" applyBorder="1" applyAlignment="1" applyProtection="1">
      <alignment horizontal="left" vertical="center" wrapText="1" indent="1"/>
      <protection locked="0"/>
    </xf>
    <xf numFmtId="0" fontId="6" fillId="0" borderId="63" xfId="5" applyNumberFormat="1" applyFont="1" applyFill="1" applyBorder="1" applyAlignment="1" applyProtection="1">
      <alignment horizontal="left" vertical="center" wrapText="1" indent="1"/>
      <protection locked="0"/>
    </xf>
    <xf numFmtId="0" fontId="6" fillId="0" borderId="94" xfId="5" applyNumberFormat="1" applyFont="1" applyFill="1" applyBorder="1" applyAlignment="1" applyProtection="1">
      <alignment horizontal="left" vertical="center" wrapText="1" indent="1"/>
      <protection locked="0"/>
    </xf>
    <xf numFmtId="0" fontId="6" fillId="0" borderId="91" xfId="5" applyNumberFormat="1" applyFont="1" applyFill="1" applyBorder="1" applyAlignment="1" applyProtection="1">
      <alignment horizontal="left" vertical="center" wrapText="1" indent="1"/>
      <protection locked="0"/>
    </xf>
    <xf numFmtId="0" fontId="7" fillId="0" borderId="9" xfId="0" applyFont="1" applyFill="1" applyBorder="1" applyAlignment="1" applyProtection="1">
      <alignment horizontal="center" vertical="top" wrapText="1"/>
      <protection hidden="1"/>
    </xf>
    <xf numFmtId="0" fontId="7" fillId="0" borderId="46" xfId="0" applyNumberFormat="1" applyFont="1" applyFill="1" applyBorder="1" applyAlignment="1" applyProtection="1">
      <alignment horizontal="left" vertical="center" indent="1"/>
      <protection hidden="1"/>
    </xf>
    <xf numFmtId="0" fontId="7" fillId="0" borderId="82" xfId="0" applyNumberFormat="1" applyFont="1" applyFill="1" applyBorder="1" applyAlignment="1" applyProtection="1">
      <alignment horizontal="left" vertical="center" indent="1"/>
      <protection hidden="1"/>
    </xf>
    <xf numFmtId="0" fontId="7" fillId="0" borderId="83" xfId="0" applyNumberFormat="1" applyFont="1" applyFill="1" applyBorder="1" applyAlignment="1" applyProtection="1">
      <alignment horizontal="left" vertical="center" indent="1"/>
      <protection hidden="1"/>
    </xf>
    <xf numFmtId="172" fontId="7" fillId="5" borderId="86" xfId="0" applyNumberFormat="1" applyFont="1" applyFill="1" applyBorder="1" applyAlignment="1" applyProtection="1">
      <alignment horizontal="center" vertical="top" wrapText="1"/>
      <protection hidden="1"/>
    </xf>
    <xf numFmtId="0" fontId="6" fillId="5" borderId="78" xfId="0" applyFont="1" applyFill="1" applyBorder="1" applyAlignment="1" applyProtection="1">
      <alignment horizontal="center" vertical="top" wrapText="1"/>
      <protection hidden="1"/>
    </xf>
    <xf numFmtId="0" fontId="19" fillId="5" borderId="21" xfId="0" applyFont="1" applyFill="1" applyBorder="1" applyAlignment="1" applyProtection="1">
      <alignment horizontal="left" vertical="center" wrapText="1" indent="2"/>
      <protection hidden="1"/>
    </xf>
    <xf numFmtId="0" fontId="6" fillId="0" borderId="10" xfId="0" applyFont="1" applyBorder="1" applyAlignment="1" applyProtection="1">
      <alignment horizontal="left" vertical="center" wrapText="1" indent="2"/>
      <protection hidden="1"/>
    </xf>
    <xf numFmtId="0" fontId="6" fillId="0" borderId="78" xfId="0" applyFont="1" applyBorder="1" applyAlignment="1" applyProtection="1">
      <alignment horizontal="center" vertical="top" wrapText="1"/>
      <protection hidden="1"/>
    </xf>
    <xf numFmtId="0" fontId="19" fillId="5" borderId="10" xfId="0" applyFont="1" applyFill="1" applyBorder="1" applyAlignment="1" applyProtection="1">
      <alignment horizontal="left" vertical="center" wrapText="1" indent="2"/>
      <protection hidden="1"/>
    </xf>
    <xf numFmtId="172" fontId="7" fillId="5" borderId="40" xfId="0" applyNumberFormat="1" applyFont="1" applyFill="1" applyBorder="1" applyAlignment="1" applyProtection="1">
      <alignment horizontal="center" vertical="top" wrapText="1"/>
      <protection hidden="1"/>
    </xf>
    <xf numFmtId="0" fontId="6" fillId="0" borderId="32" xfId="0" applyFont="1" applyBorder="1" applyAlignment="1" applyProtection="1">
      <alignment horizontal="center" vertical="top" wrapText="1"/>
      <protection hidden="1"/>
    </xf>
    <xf numFmtId="0" fontId="7" fillId="5" borderId="86" xfId="0" applyFont="1" applyFill="1" applyBorder="1" applyAlignment="1" applyProtection="1">
      <alignment horizontal="center" vertical="center" wrapText="1"/>
      <protection hidden="1"/>
    </xf>
    <xf numFmtId="0" fontId="7" fillId="5" borderId="78" xfId="0" applyFont="1" applyFill="1" applyBorder="1" applyAlignment="1" applyProtection="1">
      <alignment horizontal="center" vertical="center" wrapText="1"/>
      <protection hidden="1"/>
    </xf>
    <xf numFmtId="0" fontId="7" fillId="5" borderId="85" xfId="0" applyFont="1" applyFill="1" applyBorder="1" applyAlignment="1" applyProtection="1">
      <alignment horizontal="center" vertical="center" wrapText="1"/>
      <protection hidden="1"/>
    </xf>
    <xf numFmtId="0" fontId="7" fillId="5" borderId="79" xfId="0" applyFont="1" applyFill="1" applyBorder="1" applyAlignment="1" applyProtection="1">
      <alignment horizontal="center" vertical="center" wrapText="1"/>
      <protection hidden="1"/>
    </xf>
    <xf numFmtId="0" fontId="10" fillId="0" borderId="84" xfId="0" applyFont="1" applyBorder="1" applyAlignment="1" applyProtection="1">
      <alignment horizontal="center" vertical="center"/>
      <protection hidden="1"/>
    </xf>
    <xf numFmtId="0" fontId="10" fillId="0" borderId="85" xfId="0" applyFont="1" applyBorder="1" applyAlignment="1" applyProtection="1">
      <alignment horizontal="center" vertical="center"/>
      <protection hidden="1"/>
    </xf>
    <xf numFmtId="0" fontId="10" fillId="0" borderId="79" xfId="0" applyFont="1" applyBorder="1" applyAlignment="1" applyProtection="1">
      <alignment horizontal="center" vertical="center"/>
      <protection hidden="1"/>
    </xf>
    <xf numFmtId="0" fontId="10" fillId="0" borderId="117" xfId="0" applyFont="1" applyFill="1" applyBorder="1" applyAlignment="1" applyProtection="1">
      <alignment horizontal="center" vertical="top" wrapText="1"/>
      <protection hidden="1"/>
    </xf>
    <xf numFmtId="0" fontId="10" fillId="0" borderId="7" xfId="0" applyFont="1" applyFill="1" applyBorder="1" applyAlignment="1" applyProtection="1">
      <alignment horizontal="center" vertical="top" wrapText="1"/>
      <protection hidden="1"/>
    </xf>
    <xf numFmtId="0" fontId="10" fillId="0" borderId="86" xfId="0" applyNumberFormat="1" applyFont="1" applyFill="1" applyBorder="1" applyAlignment="1" applyProtection="1">
      <alignment horizontal="center" vertical="center" wrapText="1"/>
      <protection hidden="1"/>
    </xf>
    <xf numFmtId="0" fontId="10" fillId="0" borderId="85" xfId="0" applyNumberFormat="1" applyFont="1" applyFill="1" applyBorder="1" applyAlignment="1" applyProtection="1">
      <alignment horizontal="center" vertical="center" wrapText="1"/>
      <protection hidden="1"/>
    </xf>
    <xf numFmtId="0" fontId="10" fillId="0" borderId="79" xfId="0" applyNumberFormat="1" applyFont="1" applyFill="1" applyBorder="1" applyAlignment="1" applyProtection="1">
      <alignment horizontal="center" vertical="center" wrapText="1"/>
      <protection hidden="1"/>
    </xf>
    <xf numFmtId="0" fontId="10" fillId="0" borderId="25" xfId="0" applyNumberFormat="1" applyFont="1" applyFill="1" applyBorder="1" applyAlignment="1" applyProtection="1">
      <alignment horizontal="center" vertical="top" wrapText="1"/>
      <protection hidden="1"/>
    </xf>
    <xf numFmtId="0" fontId="10" fillId="0" borderId="8" xfId="0" applyNumberFormat="1" applyFont="1" applyFill="1" applyBorder="1" applyAlignment="1" applyProtection="1">
      <alignment horizontal="center" vertical="top" wrapText="1"/>
      <protection hidden="1"/>
    </xf>
    <xf numFmtId="0" fontId="10" fillId="0" borderId="62" xfId="0" applyFont="1" applyFill="1" applyBorder="1" applyAlignment="1" applyProtection="1">
      <alignment horizontal="center" vertical="top"/>
      <protection hidden="1"/>
    </xf>
    <xf numFmtId="0" fontId="10" fillId="0" borderId="111" xfId="0" applyFont="1" applyFill="1" applyBorder="1" applyAlignment="1" applyProtection="1">
      <alignment horizontal="center" vertical="top"/>
      <protection hidden="1"/>
    </xf>
    <xf numFmtId="0" fontId="10" fillId="0" borderId="39" xfId="0" applyFont="1" applyFill="1" applyBorder="1" applyAlignment="1" applyProtection="1">
      <alignment horizontal="center" vertical="top" wrapText="1"/>
      <protection hidden="1"/>
    </xf>
    <xf numFmtId="0" fontId="10" fillId="0" borderId="115" xfId="0" applyFont="1" applyFill="1" applyBorder="1" applyAlignment="1" applyProtection="1">
      <alignment horizontal="center" vertical="top" wrapText="1"/>
      <protection hidden="1"/>
    </xf>
    <xf numFmtId="0" fontId="10" fillId="0" borderId="62" xfId="8" applyNumberFormat="1" applyFont="1" applyBorder="1" applyAlignment="1" applyProtection="1">
      <alignment horizontal="center" vertical="top" wrapText="1"/>
      <protection hidden="1"/>
    </xf>
    <xf numFmtId="0" fontId="10" fillId="0" borderId="112" xfId="8" applyNumberFormat="1" applyFont="1" applyBorder="1" applyAlignment="1" applyProtection="1">
      <alignment horizontal="center" vertical="top" wrapText="1"/>
      <protection hidden="1"/>
    </xf>
    <xf numFmtId="0" fontId="10" fillId="0" borderId="112" xfId="0" applyFont="1" applyFill="1" applyBorder="1" applyAlignment="1" applyProtection="1">
      <alignment horizontal="center" vertical="top"/>
      <protection hidden="1"/>
    </xf>
    <xf numFmtId="0" fontId="10" fillId="0" borderId="78" xfId="0" applyFont="1" applyBorder="1" applyAlignment="1" applyProtection="1">
      <alignment horizontal="center" vertical="center"/>
      <protection hidden="1"/>
    </xf>
    <xf numFmtId="0" fontId="10" fillId="0" borderId="25" xfId="0" applyFont="1" applyBorder="1" applyAlignment="1" applyProtection="1">
      <alignment horizontal="center" vertical="top" wrapText="1"/>
      <protection hidden="1"/>
    </xf>
    <xf numFmtId="0" fontId="10" fillId="0" borderId="8" xfId="0" applyFont="1" applyBorder="1" applyAlignment="1" applyProtection="1">
      <alignment horizontal="center" vertical="top" wrapText="1"/>
      <protection hidden="1"/>
    </xf>
    <xf numFmtId="0" fontId="10" fillId="0" borderId="62" xfId="0" applyFont="1" applyFill="1" applyBorder="1" applyAlignment="1" applyProtection="1">
      <alignment horizontal="center" vertical="top" wrapText="1"/>
      <protection hidden="1"/>
    </xf>
    <xf numFmtId="0" fontId="10" fillId="0" borderId="112" xfId="0" applyFont="1" applyFill="1" applyBorder="1" applyAlignment="1" applyProtection="1">
      <alignment horizontal="center" vertical="top" wrapText="1"/>
      <protection hidden="1"/>
    </xf>
    <xf numFmtId="0" fontId="10" fillId="0" borderId="111" xfId="0" applyFont="1" applyFill="1" applyBorder="1" applyAlignment="1" applyProtection="1">
      <alignment horizontal="center" vertical="top" wrapText="1"/>
      <protection hidden="1"/>
    </xf>
    <xf numFmtId="0" fontId="10" fillId="0" borderId="86" xfId="0" applyFont="1" applyBorder="1" applyAlignment="1" applyProtection="1">
      <alignment horizontal="center" vertical="center"/>
      <protection hidden="1"/>
    </xf>
    <xf numFmtId="0" fontId="10" fillId="0" borderId="86" xfId="0" applyFont="1" applyFill="1" applyBorder="1" applyAlignment="1" applyProtection="1">
      <alignment horizontal="center" vertical="top" wrapText="1"/>
      <protection hidden="1"/>
    </xf>
    <xf numFmtId="0" fontId="10" fillId="0" borderId="85" xfId="0" applyFont="1" applyFill="1" applyBorder="1" applyAlignment="1" applyProtection="1">
      <alignment horizontal="center" vertical="top" wrapText="1"/>
      <protection hidden="1"/>
    </xf>
    <xf numFmtId="0" fontId="10" fillId="0" borderId="86" xfId="0" applyFont="1" applyFill="1" applyBorder="1" applyAlignment="1" applyProtection="1">
      <alignment horizontal="center" vertical="top"/>
      <protection hidden="1"/>
    </xf>
    <xf numFmtId="0" fontId="10" fillId="0" borderId="78" xfId="0" applyFont="1" applyFill="1" applyBorder="1" applyAlignment="1" applyProtection="1">
      <alignment horizontal="center" vertical="top"/>
      <protection hidden="1"/>
    </xf>
    <xf numFmtId="0" fontId="10" fillId="0" borderId="78" xfId="0" applyFont="1" applyFill="1" applyBorder="1" applyAlignment="1" applyProtection="1">
      <alignment horizontal="center" vertical="top" wrapText="1"/>
      <protection hidden="1"/>
    </xf>
    <xf numFmtId="0" fontId="10" fillId="0" borderId="86" xfId="8" applyNumberFormat="1" applyFont="1" applyBorder="1" applyAlignment="1" applyProtection="1">
      <alignment horizontal="center" vertical="top" wrapText="1"/>
      <protection hidden="1"/>
    </xf>
    <xf numFmtId="0" fontId="10" fillId="0" borderId="78" xfId="8" applyNumberFormat="1" applyFont="1" applyBorder="1" applyAlignment="1" applyProtection="1">
      <alignment horizontal="center" vertical="top" wrapText="1"/>
      <protection hidden="1"/>
    </xf>
    <xf numFmtId="0" fontId="10" fillId="0" borderId="84" xfId="0" applyFont="1" applyFill="1" applyBorder="1" applyAlignment="1" applyProtection="1">
      <alignment horizontal="center" vertical="top"/>
      <protection hidden="1"/>
    </xf>
    <xf numFmtId="0" fontId="10" fillId="0" borderId="79" xfId="0" applyFont="1" applyFill="1" applyBorder="1" applyAlignment="1" applyProtection="1">
      <alignment horizontal="center" vertical="top"/>
      <protection hidden="1"/>
    </xf>
    <xf numFmtId="0" fontId="10" fillId="0" borderId="79" xfId="0" applyFont="1" applyFill="1" applyBorder="1" applyAlignment="1" applyProtection="1">
      <alignment horizontal="center" vertical="top" wrapText="1"/>
      <protection hidden="1"/>
    </xf>
    <xf numFmtId="0" fontId="10" fillId="0" borderId="85" xfId="0" applyFont="1" applyFill="1" applyBorder="1" applyAlignment="1" applyProtection="1">
      <alignment horizontal="center" vertical="top"/>
      <protection hidden="1"/>
    </xf>
    <xf numFmtId="0" fontId="10" fillId="0" borderId="81" xfId="0" applyFont="1" applyFill="1" applyBorder="1" applyAlignment="1" applyProtection="1">
      <alignment horizontal="center" vertical="top" wrapText="1"/>
      <protection hidden="1"/>
    </xf>
    <xf numFmtId="0" fontId="10" fillId="0" borderId="72" xfId="0" applyFont="1" applyBorder="1" applyAlignment="1" applyProtection="1">
      <alignment horizontal="center" vertical="top" wrapText="1"/>
      <protection hidden="1"/>
    </xf>
    <xf numFmtId="0" fontId="10" fillId="0" borderId="27" xfId="0" applyFont="1" applyBorder="1" applyAlignment="1" applyProtection="1">
      <alignment horizontal="center" vertical="top" wrapText="1"/>
      <protection hidden="1"/>
    </xf>
    <xf numFmtId="0" fontId="10" fillId="0" borderId="29" xfId="0" applyFont="1" applyFill="1" applyBorder="1" applyAlignment="1" applyProtection="1">
      <alignment horizontal="center" vertical="top" wrapText="1"/>
      <protection hidden="1"/>
    </xf>
    <xf numFmtId="172" fontId="10" fillId="0" borderId="86" xfId="0" applyNumberFormat="1" applyFont="1" applyFill="1" applyBorder="1" applyAlignment="1" applyProtection="1">
      <alignment horizontal="center" vertical="center"/>
      <protection hidden="1"/>
    </xf>
    <xf numFmtId="172" fontId="10" fillId="0" borderId="85" xfId="0" applyNumberFormat="1" applyFont="1" applyFill="1" applyBorder="1" applyAlignment="1" applyProtection="1">
      <alignment horizontal="center" vertical="center"/>
      <protection hidden="1"/>
    </xf>
    <xf numFmtId="172" fontId="10" fillId="0" borderId="78" xfId="0" applyNumberFormat="1" applyFont="1" applyFill="1" applyBorder="1" applyAlignment="1" applyProtection="1">
      <alignment horizontal="center" vertical="center"/>
      <protection hidden="1"/>
    </xf>
  </cellXfs>
  <cellStyles count="18">
    <cellStyle name="Comma 2" xfId="1"/>
    <cellStyle name="Comma 2 2" xfId="2"/>
    <cellStyle name="Comma 2 2 2" xfId="15"/>
    <cellStyle name="Comma 2 3" xfId="14"/>
    <cellStyle name="Comma 3" xfId="3"/>
    <cellStyle name="Comma 3 2" xfId="16"/>
    <cellStyle name="Comma 3 3" xfId="13"/>
    <cellStyle name="Normal" xfId="0" builtinId="0"/>
    <cellStyle name="Normal 2" xfId="4"/>
    <cellStyle name="Normal 2 2" xfId="5"/>
    <cellStyle name="Normal 2 3" xfId="12"/>
    <cellStyle name="Normal 2_RUK by FSG, 08-09 to 10-11" xfId="11"/>
    <cellStyle name="Normal 3" xfId="6"/>
    <cellStyle name="Normal 3 2" xfId="17"/>
    <cellStyle name="Normal_ABDN" xfId="7"/>
    <cellStyle name="Normal_GFU and SSI Teaching Grants for 2012-13, Additional Science inc STEM" xfId="8"/>
    <cellStyle name="Normal_Linked Table3 2004-05" xfId="9"/>
    <cellStyle name="Normal_Table1 ABER first cut" xfId="10"/>
  </cellStyles>
  <dxfs count="131">
    <dxf>
      <font>
        <b/>
        <i val="0"/>
        <color rgb="FFFF0000"/>
      </font>
    </dxf>
    <dxf>
      <font>
        <b/>
        <i/>
        <condense val="0"/>
        <extend val="0"/>
      </font>
      <fill>
        <patternFill>
          <bgColor indexed="44"/>
        </patternFill>
      </fill>
      <border>
        <left/>
        <right/>
        <top/>
        <bottom/>
      </border>
    </dxf>
    <dxf>
      <font>
        <b/>
        <i val="0"/>
        <color rgb="FFFF0000"/>
      </font>
    </dxf>
    <dxf>
      <font>
        <color rgb="FF9C0006"/>
      </font>
    </dxf>
    <dxf>
      <font>
        <b/>
        <i val="0"/>
        <color rgb="FFFF0000"/>
      </font>
    </dxf>
    <dxf>
      <font>
        <b/>
        <i val="0"/>
        <color rgb="FFFF0000"/>
      </font>
    </dxf>
    <dxf>
      <font>
        <color rgb="FF9C0006"/>
      </font>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ont>
        <b/>
        <i/>
        <condense val="0"/>
        <extend val="0"/>
      </font>
      <fill>
        <patternFill>
          <bgColor indexed="44"/>
        </patternFill>
      </fill>
      <border>
        <left/>
        <right/>
        <top/>
        <bottom/>
      </border>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ont>
        <b/>
        <i/>
        <condense val="0"/>
        <extend val="0"/>
      </font>
      <fill>
        <patternFill>
          <bgColor indexed="44"/>
        </patternFill>
      </fill>
      <border>
        <left/>
        <right/>
        <top/>
        <bottom/>
      </border>
    </dxf>
    <dxf>
      <fill>
        <patternFill>
          <bgColor rgb="FFCCFFFF"/>
        </patternFill>
      </fill>
    </dxf>
    <dxf>
      <fill>
        <patternFill patternType="none">
          <bgColor indexed="65"/>
        </patternFill>
      </fill>
    </dxf>
    <dxf>
      <fill>
        <patternFill patternType="none">
          <bgColor indexed="65"/>
        </patternFill>
      </fill>
    </dxf>
    <dxf>
      <font>
        <b/>
        <i/>
        <condense val="0"/>
        <extend val="0"/>
      </font>
      <fill>
        <patternFill>
          <bgColor indexed="44"/>
        </patternFill>
      </fill>
      <border>
        <left/>
        <right/>
        <top/>
        <bottom/>
      </border>
    </dxf>
    <dxf>
      <font>
        <color auto="1"/>
      </font>
      <fill>
        <patternFill>
          <bgColor rgb="FFCCFFFF"/>
        </patternFill>
      </fill>
    </dxf>
    <dxf>
      <fill>
        <patternFill patternType="solid">
          <bgColor rgb="FFFFFFFF"/>
        </patternFill>
      </fill>
    </dxf>
    <dxf>
      <fill>
        <patternFill patternType="none">
          <bgColor indexed="65"/>
        </patternFill>
      </fill>
    </dxf>
    <dxf>
      <font>
        <b/>
        <i/>
        <condense val="0"/>
        <extend val="0"/>
      </font>
      <fill>
        <patternFill>
          <bgColor indexed="44"/>
        </patternFill>
      </fill>
      <border>
        <left/>
        <right/>
        <top/>
        <bottom/>
      </border>
    </dxf>
    <dxf>
      <fill>
        <patternFill>
          <bgColor rgb="FFFFFFFF"/>
        </patternFill>
      </fill>
    </dxf>
    <dxf>
      <fill>
        <patternFill>
          <bgColor rgb="FFCCFFFF"/>
        </patternFill>
      </fill>
    </dxf>
    <dxf>
      <font>
        <color rgb="FFCCFFFF"/>
      </font>
    </dxf>
    <dxf>
      <font>
        <color rgb="FFCCFFFF"/>
      </font>
    </dxf>
    <dxf>
      <fill>
        <patternFill>
          <bgColor rgb="FFCCFFFF"/>
        </patternFill>
      </fill>
    </dxf>
    <dxf>
      <fill>
        <patternFill patternType="none">
          <bgColor indexed="65"/>
        </patternFill>
      </fill>
    </dxf>
    <dxf>
      <font>
        <b/>
        <i/>
        <condense val="0"/>
        <extend val="0"/>
      </font>
      <fill>
        <patternFill>
          <bgColor indexed="44"/>
        </patternFill>
      </fill>
      <border>
        <left/>
        <right/>
        <top/>
        <bottom/>
      </border>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ill>
        <patternFill>
          <bgColor rgb="FFCCFFFF"/>
        </patternFill>
      </fill>
    </dxf>
    <dxf>
      <fill>
        <patternFill>
          <bgColor rgb="FFCCFFFF"/>
        </patternFill>
      </fill>
    </dxf>
    <dxf>
      <fill>
        <patternFill>
          <bgColor rgb="FFCCFFFF"/>
        </patternFill>
      </fill>
    </dxf>
    <dxf>
      <fill>
        <patternFill patternType="none">
          <bgColor indexed="65"/>
        </patternFill>
      </fill>
    </dxf>
    <dxf>
      <font>
        <b/>
        <i/>
        <condense val="0"/>
        <extend val="0"/>
      </font>
      <fill>
        <patternFill>
          <bgColor indexed="44"/>
        </patternFill>
      </fill>
      <border>
        <left/>
        <right/>
        <top/>
        <bottom/>
      </border>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CCFFFF"/>
      </font>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indexed="65"/>
        </patternFill>
      </fill>
    </dxf>
    <dxf>
      <font>
        <b/>
        <i/>
        <condense val="0"/>
        <extend val="0"/>
      </font>
      <fill>
        <patternFill>
          <bgColor indexed="44"/>
        </patternFill>
      </fill>
      <border>
        <left/>
        <right/>
        <top/>
        <bottom/>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CCFFFF"/>
      </font>
    </dxf>
    <dxf>
      <fill>
        <patternFill patternType="none">
          <bgColor auto="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indexed="65"/>
        </patternFill>
      </fill>
    </dxf>
    <dxf>
      <font>
        <b/>
        <i/>
        <condense val="0"/>
        <extend val="0"/>
      </font>
      <fill>
        <patternFill>
          <bgColor indexed="44"/>
        </patternFill>
      </fill>
      <border>
        <left/>
        <right/>
        <top/>
        <bottom/>
      </border>
    </dxf>
    <dxf>
      <fill>
        <patternFill>
          <bgColor rgb="FFFFFFFF"/>
        </patternFill>
      </fill>
    </dxf>
    <dxf>
      <font>
        <color rgb="FFCCFFFF"/>
      </font>
    </dxf>
    <dxf>
      <fill>
        <patternFill>
          <bgColor rgb="FFCCFFFF"/>
        </patternFill>
      </fill>
    </dxf>
    <dxf>
      <font>
        <b/>
        <i/>
        <condense val="0"/>
        <extend val="0"/>
      </font>
      <fill>
        <patternFill>
          <bgColor indexed="44"/>
        </patternFill>
      </fill>
      <border>
        <left/>
        <right/>
        <top/>
        <bottom/>
      </border>
    </dxf>
    <dxf>
      <font>
        <b/>
        <i val="0"/>
        <condense val="0"/>
        <extend val="0"/>
        <color auto="1"/>
      </font>
      <fill>
        <patternFill>
          <bgColor indexed="44"/>
        </patternFill>
      </fill>
      <border>
        <left/>
        <right/>
        <top/>
        <bottom/>
      </border>
    </dxf>
    <dxf>
      <font>
        <b/>
        <i val="0"/>
        <condense val="0"/>
        <extend val="0"/>
        <color indexed="10"/>
      </font>
      <fill>
        <patternFill>
          <bgColor indexed="9"/>
        </patternFill>
      </fill>
      <border>
        <left/>
        <right/>
        <top/>
        <bottom/>
      </border>
    </dxf>
    <dxf>
      <font>
        <color rgb="FFCCFFFF"/>
      </font>
    </dxf>
    <dxf>
      <fill>
        <patternFill>
          <bgColor rgb="FFCCFFFF"/>
        </patternFill>
      </fill>
    </dxf>
    <dxf>
      <fill>
        <patternFill patternType="none">
          <bgColor indexed="65"/>
        </patternFill>
      </fill>
    </dxf>
    <dxf>
      <font>
        <b/>
        <i val="0"/>
      </font>
      <fill>
        <patternFill patternType="none">
          <bgColor auto="1"/>
        </patternFill>
      </fill>
    </dxf>
  </dxfs>
  <tableStyles count="0" defaultTableStyle="TableStyleMedium2" defaultPivotStyle="PivotStyleLight16"/>
  <colors>
    <mruColors>
      <color rgb="FFCCFFFF"/>
      <color rgb="FFCCECFF"/>
      <color rgb="FF66CCFF"/>
      <color rgb="FF000000"/>
      <color rgb="FFFFFFFF"/>
      <color rgb="FFCCC0D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zoomScale="80" zoomScaleNormal="80" workbookViewId="0"/>
  </sheetViews>
  <sheetFormatPr defaultColWidth="9.140625" defaultRowHeight="15"/>
  <cols>
    <col min="1" max="1" width="3.7109375" style="1405" customWidth="1"/>
    <col min="2" max="2" width="7.7109375" style="1405" customWidth="1"/>
    <col min="3" max="3" width="145.7109375" style="1405" customWidth="1"/>
    <col min="4" max="4" width="14.28515625" style="1405" customWidth="1"/>
    <col min="5" max="16384" width="9.140625" style="1405"/>
  </cols>
  <sheetData>
    <row r="1" spans="1:5" ht="24.95" customHeight="1">
      <c r="A1" s="1154"/>
      <c r="B1" s="1155" t="s">
        <v>346</v>
      </c>
      <c r="C1" s="1156"/>
      <c r="D1" s="1156"/>
      <c r="E1" s="1157"/>
    </row>
    <row r="2" spans="1:5" ht="24.95" customHeight="1">
      <c r="A2" s="1158"/>
      <c r="B2" s="973" t="s">
        <v>0</v>
      </c>
      <c r="C2" s="1150"/>
      <c r="D2" s="1150"/>
      <c r="E2" s="1159"/>
    </row>
    <row r="3" spans="1:5" ht="24.95" customHeight="1">
      <c r="A3" s="1158"/>
      <c r="B3" s="1651" t="str">
        <f>Background!$D$2</f>
        <v>Glasgow, University of</v>
      </c>
      <c r="C3" s="1652"/>
      <c r="D3" s="1153"/>
      <c r="E3" s="1160"/>
    </row>
    <row r="4" spans="1:5" ht="24.95" customHeight="1">
      <c r="A4" s="1158"/>
      <c r="B4" s="1071" t="s">
        <v>311</v>
      </c>
      <c r="C4" s="530"/>
      <c r="D4" s="530"/>
      <c r="E4" s="970"/>
    </row>
    <row r="5" spans="1:5" ht="9.9499999999999993" customHeight="1" thickBot="1">
      <c r="A5" s="1158"/>
      <c r="B5" s="530"/>
      <c r="C5" s="530"/>
      <c r="D5" s="530"/>
      <c r="E5" s="970"/>
    </row>
    <row r="6" spans="1:5" ht="24.95" customHeight="1">
      <c r="A6" s="1158"/>
      <c r="B6" s="1647" t="s">
        <v>312</v>
      </c>
      <c r="C6" s="1648"/>
      <c r="D6" s="1649" t="s">
        <v>313</v>
      </c>
      <c r="E6" s="970"/>
    </row>
    <row r="7" spans="1:5" ht="45" customHeight="1">
      <c r="A7" s="1158"/>
      <c r="B7" s="1151" t="s">
        <v>212</v>
      </c>
      <c r="C7" s="1152" t="s">
        <v>147</v>
      </c>
      <c r="D7" s="1650"/>
      <c r="E7" s="970"/>
    </row>
    <row r="8" spans="1:5" ht="30" customHeight="1">
      <c r="A8" s="1158"/>
      <c r="B8" s="1166">
        <v>1</v>
      </c>
      <c r="C8" s="1167" t="s">
        <v>248</v>
      </c>
      <c r="D8" s="1175" t="s">
        <v>314</v>
      </c>
      <c r="E8" s="1162"/>
    </row>
    <row r="9" spans="1:5" ht="30" customHeight="1">
      <c r="A9" s="1158"/>
      <c r="B9" s="1164" t="s">
        <v>167</v>
      </c>
      <c r="C9" s="1165" t="s">
        <v>347</v>
      </c>
      <c r="D9" s="1163" t="str">
        <f>IF(E9&gt;0,"YES","")</f>
        <v>YES</v>
      </c>
      <c r="E9" s="1174">
        <f>VLOOKUP(Background!$C$2,Inst_Tables,3,FALSE)</f>
        <v>1</v>
      </c>
    </row>
    <row r="10" spans="1:5" ht="30" customHeight="1">
      <c r="A10" s="1158"/>
      <c r="B10" s="1164" t="s">
        <v>168</v>
      </c>
      <c r="C10" s="1165" t="s">
        <v>348</v>
      </c>
      <c r="D10" s="1163" t="str">
        <f t="shared" ref="D10:D20" si="0">IF(E10&gt;0,"YES","")</f>
        <v/>
      </c>
      <c r="E10" s="1174">
        <f>VLOOKUP(Background!$C$2,Inst_Tables,4,FALSE)</f>
        <v>0</v>
      </c>
    </row>
    <row r="11" spans="1:5" ht="30" customHeight="1">
      <c r="A11" s="1158"/>
      <c r="B11" s="1164" t="s">
        <v>169</v>
      </c>
      <c r="C11" s="1165" t="s">
        <v>349</v>
      </c>
      <c r="D11" s="1163" t="str">
        <f t="shared" si="0"/>
        <v>YES</v>
      </c>
      <c r="E11" s="1174">
        <f>VLOOKUP(Background!$C$2,Inst_Tables,5,FALSE)</f>
        <v>1</v>
      </c>
    </row>
    <row r="12" spans="1:5" ht="30" customHeight="1">
      <c r="A12" s="1158"/>
      <c r="B12" s="1164" t="s">
        <v>274</v>
      </c>
      <c r="C12" s="1165" t="s">
        <v>350</v>
      </c>
      <c r="D12" s="1163" t="str">
        <f t="shared" si="0"/>
        <v>YES</v>
      </c>
      <c r="E12" s="1174">
        <f>VLOOKUP(Background!$C$2,Inst_Tables,6,FALSE)</f>
        <v>1</v>
      </c>
    </row>
    <row r="13" spans="1:5" ht="30" customHeight="1">
      <c r="A13" s="1158"/>
      <c r="B13" s="1164">
        <v>3</v>
      </c>
      <c r="C13" s="1165" t="s">
        <v>351</v>
      </c>
      <c r="D13" s="1163" t="str">
        <f t="shared" si="0"/>
        <v>YES</v>
      </c>
      <c r="E13" s="1174">
        <f>VLOOKUP(Background!$C$2,Inst_Tables,7,FALSE)</f>
        <v>1</v>
      </c>
    </row>
    <row r="14" spans="1:5" ht="30" customHeight="1">
      <c r="A14" s="1158"/>
      <c r="B14" s="1164" t="s">
        <v>255</v>
      </c>
      <c r="C14" s="1165" t="s">
        <v>427</v>
      </c>
      <c r="D14" s="1163" t="str">
        <f t="shared" si="0"/>
        <v/>
      </c>
      <c r="E14" s="1174">
        <f>VLOOKUP(Background!$C$2,Inst_Tables,8,FALSE)</f>
        <v>0</v>
      </c>
    </row>
    <row r="15" spans="1:5" ht="30" customHeight="1">
      <c r="A15" s="1158"/>
      <c r="B15" s="1164" t="s">
        <v>256</v>
      </c>
      <c r="C15" s="1165" t="s">
        <v>352</v>
      </c>
      <c r="D15" s="1163" t="str">
        <f t="shared" si="0"/>
        <v>YES</v>
      </c>
      <c r="E15" s="1174">
        <f>VLOOKUP(Background!$C$2,Inst_Tables,9,FALSE)</f>
        <v>1</v>
      </c>
    </row>
    <row r="16" spans="1:5" ht="30" customHeight="1">
      <c r="A16" s="1158"/>
      <c r="B16" s="1164" t="s">
        <v>214</v>
      </c>
      <c r="C16" s="1165" t="s">
        <v>353</v>
      </c>
      <c r="D16" s="1163" t="str">
        <f t="shared" si="0"/>
        <v>YES</v>
      </c>
      <c r="E16" s="1174">
        <f>VLOOKUP(Background!$C$2,Inst_Tables,10,FALSE)</f>
        <v>1</v>
      </c>
    </row>
    <row r="17" spans="1:5" ht="30" customHeight="1">
      <c r="A17" s="1158"/>
      <c r="B17" s="1164" t="s">
        <v>215</v>
      </c>
      <c r="C17" s="1165" t="s">
        <v>354</v>
      </c>
      <c r="D17" s="1163" t="str">
        <f t="shared" si="0"/>
        <v>YES</v>
      </c>
      <c r="E17" s="1174">
        <f>VLOOKUP(Background!$C$2,Inst_Tables,11,FALSE)</f>
        <v>1</v>
      </c>
    </row>
    <row r="18" spans="1:5" ht="30" customHeight="1">
      <c r="A18" s="1158"/>
      <c r="B18" s="1164" t="s">
        <v>216</v>
      </c>
      <c r="C18" s="1165" t="s">
        <v>355</v>
      </c>
      <c r="D18" s="1163" t="str">
        <f t="shared" si="0"/>
        <v>YES</v>
      </c>
      <c r="E18" s="1174">
        <f>VLOOKUP(Background!$C$2,Inst_Tables,12,FALSE)</f>
        <v>1</v>
      </c>
    </row>
    <row r="19" spans="1:5" ht="30" customHeight="1">
      <c r="A19" s="1158"/>
      <c r="B19" s="1164" t="s">
        <v>217</v>
      </c>
      <c r="C19" s="1165" t="s">
        <v>356</v>
      </c>
      <c r="D19" s="1163" t="str">
        <f t="shared" si="0"/>
        <v>YES</v>
      </c>
      <c r="E19" s="1174">
        <f>VLOOKUP(Background!$C$2,Inst_Tables,13,FALSE)</f>
        <v>1</v>
      </c>
    </row>
    <row r="20" spans="1:5" ht="30" customHeight="1" thickBot="1">
      <c r="A20" s="1158"/>
      <c r="B20" s="1168" t="s">
        <v>218</v>
      </c>
      <c r="C20" s="1169" t="s">
        <v>357</v>
      </c>
      <c r="D20" s="1170" t="str">
        <f t="shared" si="0"/>
        <v>YES</v>
      </c>
      <c r="E20" s="1174">
        <f>VLOOKUP(Background!$C$2,Inst_Tables,14,FALSE)</f>
        <v>1</v>
      </c>
    </row>
    <row r="21" spans="1:5" ht="30" customHeight="1" thickTop="1" thickBot="1">
      <c r="A21" s="1158"/>
      <c r="B21" s="1171"/>
      <c r="C21" s="1172" t="s">
        <v>358</v>
      </c>
      <c r="D21" s="1173" t="s">
        <v>315</v>
      </c>
      <c r="E21" s="970"/>
    </row>
    <row r="22" spans="1:5">
      <c r="A22" s="1161"/>
      <c r="B22" s="904"/>
      <c r="C22" s="904"/>
      <c r="D22" s="904"/>
      <c r="E22" s="906"/>
    </row>
  </sheetData>
  <sheetProtection password="E23E" sheet="1" objects="1" scenarios="1"/>
  <mergeCells count="3">
    <mergeCell ref="B6:C6"/>
    <mergeCell ref="D6:D7"/>
    <mergeCell ref="B3:C3"/>
  </mergeCells>
  <conditionalFormatting sqref="B9:D20">
    <cfRule type="expression" dxfId="130" priority="1">
      <formula>$E9&gt;0</formula>
    </cfRule>
  </conditionalFormatting>
  <pageMargins left="0.19685039370078741" right="0.19685039370078741" top="0.19685039370078741" bottom="0.39370078740157483" header="0" footer="0"/>
  <pageSetup paperSize="9"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zoomScale="80" zoomScaleNormal="80" workbookViewId="0"/>
  </sheetViews>
  <sheetFormatPr defaultColWidth="9.140625" defaultRowHeight="15"/>
  <cols>
    <col min="1" max="1" width="2.7109375" style="1405" customWidth="1"/>
    <col min="2" max="2" width="78.7109375" style="1405" customWidth="1"/>
    <col min="3" max="3" width="13.7109375" style="1405" customWidth="1"/>
    <col min="4" max="4" width="12.7109375" style="1405" customWidth="1"/>
    <col min="5" max="5" width="8.7109375" style="1405" customWidth="1"/>
    <col min="6" max="6" width="16.7109375" style="1405" hidden="1" customWidth="1"/>
    <col min="7" max="16384" width="9.140625" style="1405"/>
  </cols>
  <sheetData>
    <row r="1" spans="1:6" ht="39.950000000000003" customHeight="1">
      <c r="A1" s="530"/>
      <c r="B1" s="579" t="str">
        <f>IF(C4=0,"Your Institution Does Not Complete This Table","")</f>
        <v/>
      </c>
      <c r="C1" s="579"/>
      <c r="D1" s="579"/>
      <c r="E1" s="43"/>
      <c r="F1" s="44"/>
    </row>
    <row r="2" spans="1:6" s="1436" customFormat="1" ht="30" customHeight="1">
      <c r="A2" s="1074"/>
      <c r="B2" s="865" t="s">
        <v>369</v>
      </c>
      <c r="C2" s="865"/>
      <c r="D2" s="865"/>
      <c r="E2" s="867"/>
      <c r="F2" s="868"/>
    </row>
    <row r="3" spans="1:6" ht="35.1" customHeight="1">
      <c r="A3" s="882"/>
      <c r="B3" s="1070" t="s">
        <v>0</v>
      </c>
      <c r="C3" s="1205"/>
      <c r="D3" s="944"/>
      <c r="E3" s="970"/>
      <c r="F3" s="126"/>
    </row>
    <row r="4" spans="1:6" ht="35.1" customHeight="1">
      <c r="A4" s="882"/>
      <c r="B4" s="947" t="str">
        <f>Background!$D$2</f>
        <v>Glasgow, University of</v>
      </c>
      <c r="C4" s="1206">
        <f>VLOOKUP(Background!$C$2,Inst_Tables,10,FALSE)</f>
        <v>1</v>
      </c>
      <c r="D4" s="944"/>
      <c r="E4" s="1174"/>
      <c r="F4" s="126"/>
    </row>
    <row r="5" spans="1:6" s="1419" customFormat="1" ht="35.1" customHeight="1">
      <c r="A5" s="967"/>
      <c r="B5" s="1071" t="s">
        <v>353</v>
      </c>
      <c r="C5" s="1071"/>
      <c r="D5" s="1071"/>
      <c r="E5" s="871"/>
      <c r="F5" s="147"/>
    </row>
    <row r="6" spans="1:6" s="1419" customFormat="1" ht="30" customHeight="1">
      <c r="A6" s="967"/>
      <c r="B6" s="55" t="s">
        <v>438</v>
      </c>
      <c r="C6" s="55"/>
      <c r="D6" s="55"/>
      <c r="E6" s="871"/>
      <c r="F6" s="147"/>
    </row>
    <row r="7" spans="1:6" s="1419" customFormat="1" ht="24.95" customHeight="1">
      <c r="A7" s="967"/>
      <c r="B7" s="55" t="s">
        <v>342</v>
      </c>
      <c r="C7" s="55"/>
      <c r="D7" s="55"/>
      <c r="E7" s="871"/>
      <c r="F7" s="1191"/>
    </row>
    <row r="8" spans="1:6" s="1419" customFormat="1" ht="15" customHeight="1" thickBot="1">
      <c r="A8" s="967"/>
      <c r="B8" s="968"/>
      <c r="C8" s="968"/>
      <c r="D8" s="968"/>
      <c r="E8" s="884"/>
      <c r="F8" s="1191"/>
    </row>
    <row r="9" spans="1:6" s="1419" customFormat="1" ht="24.95" customHeight="1">
      <c r="A9" s="1082"/>
      <c r="B9" s="1179"/>
      <c r="C9" s="1180"/>
      <c r="D9" s="1182" t="s">
        <v>18</v>
      </c>
      <c r="E9" s="1178"/>
      <c r="F9" s="1792" t="s">
        <v>319</v>
      </c>
    </row>
    <row r="10" spans="1:6" ht="35.1" customHeight="1">
      <c r="A10" s="882"/>
      <c r="B10" s="1185" t="s">
        <v>318</v>
      </c>
      <c r="C10" s="1183" t="s">
        <v>57</v>
      </c>
      <c r="D10" s="1184">
        <f>VLOOKUP(Background!$C$2,Inst_FPs,11,FALSE)</f>
        <v>150</v>
      </c>
      <c r="E10" s="201"/>
      <c r="F10" s="1792"/>
    </row>
    <row r="11" spans="1:6" ht="35.1" customHeight="1">
      <c r="A11" s="882"/>
      <c r="B11" s="1186" t="s">
        <v>420</v>
      </c>
      <c r="C11" s="1188" t="s">
        <v>31</v>
      </c>
      <c r="D11" s="1189">
        <v>233</v>
      </c>
      <c r="E11" s="201"/>
      <c r="F11" s="1792"/>
    </row>
    <row r="12" spans="1:6" ht="35.1" customHeight="1" thickBot="1">
      <c r="A12" s="882"/>
      <c r="B12" s="1187" t="s">
        <v>317</v>
      </c>
      <c r="C12" s="1190" t="s">
        <v>56</v>
      </c>
      <c r="D12" s="964">
        <f>IF(D10&gt;0,D11-D10,"")</f>
        <v>83</v>
      </c>
      <c r="E12" s="201"/>
      <c r="F12" s="875">
        <f>IF(AND(D10&gt;0,D11&gt;0),MIN(D10,D11),0)</f>
        <v>150</v>
      </c>
    </row>
    <row r="13" spans="1:6" ht="30" customHeight="1">
      <c r="A13" s="882"/>
      <c r="B13" s="1072" t="s">
        <v>322</v>
      </c>
      <c r="C13" s="1072"/>
      <c r="D13" s="1072"/>
      <c r="E13" s="201"/>
      <c r="F13" s="875"/>
    </row>
    <row r="14" spans="1:6" ht="24.95" customHeight="1">
      <c r="A14" s="882"/>
      <c r="B14" s="1072" t="s">
        <v>321</v>
      </c>
      <c r="C14" s="1072"/>
      <c r="D14" s="1072"/>
      <c r="E14" s="201"/>
      <c r="F14" s="875"/>
    </row>
    <row r="15" spans="1:6" ht="15" customHeight="1">
      <c r="A15" s="907"/>
      <c r="B15" s="1073"/>
      <c r="C15" s="1073"/>
      <c r="D15" s="1073"/>
      <c r="E15" s="906"/>
      <c r="F15" s="44"/>
    </row>
    <row r="16" spans="1:6" s="1437" customFormat="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sheetData>
  <sheetProtection password="E23E" sheet="1" objects="1" scenarios="1"/>
  <mergeCells count="1">
    <mergeCell ref="F9:F11"/>
  </mergeCells>
  <conditionalFormatting sqref="D11">
    <cfRule type="expression" dxfId="26" priority="103">
      <formula>$C$4=0</formula>
    </cfRule>
  </conditionalFormatting>
  <conditionalFormatting sqref="A1:E1">
    <cfRule type="expression" dxfId="25" priority="105">
      <formula>#REF!=0</formula>
    </cfRule>
  </conditionalFormatting>
  <dataValidations count="2">
    <dataValidation allowBlank="1" sqref="E5:E14 B10:C12 D9:D10 D12 B16:D65484 F9 E15:F65484 F12:F14 C3 B4 F2:F7 G1:IP1048576"/>
    <dataValidation type="custom" allowBlank="1" showErrorMessage="1" errorTitle="No HFU funded places" error="You cannot enter HFU funded student FTE where no HFU funded places exist " sqref="D11">
      <formula1>AND($D10&gt;0,$D11&gt;=0)</formula1>
    </dataValidation>
  </dataValidations>
  <pageMargins left="0.19685039370078741" right="0.19685039370078741" top="0.19685039370078741" bottom="0.39370078740157483"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0"/>
  <sheetViews>
    <sheetView zoomScale="80" zoomScaleNormal="80" workbookViewId="0"/>
  </sheetViews>
  <sheetFormatPr defaultColWidth="9.140625" defaultRowHeight="15"/>
  <cols>
    <col min="1" max="1" width="2.7109375" style="1405" customWidth="1"/>
    <col min="2" max="2" width="76" style="1405" customWidth="1"/>
    <col min="3" max="3" width="18.7109375" style="1405" customWidth="1"/>
    <col min="4" max="4" width="5.7109375" style="1405" customWidth="1"/>
    <col min="5" max="5" width="16.7109375" style="1405" hidden="1" customWidth="1"/>
    <col min="6" max="16384" width="9.140625" style="1405"/>
  </cols>
  <sheetData>
    <row r="1" spans="1:5" ht="39.950000000000003" customHeight="1">
      <c r="A1" s="534"/>
      <c r="B1" s="1076" t="str">
        <f>IF(C4=0,"Your Institution Does Not Complete This Table","")</f>
        <v/>
      </c>
      <c r="C1" s="1075"/>
      <c r="D1" s="1075"/>
      <c r="E1" s="44"/>
    </row>
    <row r="2" spans="1:5" s="1436" customFormat="1" ht="30" customHeight="1">
      <c r="A2" s="1074"/>
      <c r="B2" s="865" t="s">
        <v>370</v>
      </c>
      <c r="C2" s="865"/>
      <c r="D2" s="867"/>
      <c r="E2" s="868"/>
    </row>
    <row r="3" spans="1:5" ht="39.950000000000003" customHeight="1">
      <c r="A3" s="882"/>
      <c r="B3" s="1070" t="s">
        <v>0</v>
      </c>
      <c r="C3" s="530"/>
      <c r="D3" s="891"/>
      <c r="E3" s="126"/>
    </row>
    <row r="4" spans="1:5" ht="39.950000000000003" customHeight="1">
      <c r="A4" s="882"/>
      <c r="B4" s="947" t="str">
        <f>Background!$D$2</f>
        <v>Glasgow, University of</v>
      </c>
      <c r="C4" s="1207">
        <f>VLOOKUP(Background!$C$2,Inst_Tables,11,FALSE)</f>
        <v>1</v>
      </c>
      <c r="D4" s="970"/>
      <c r="E4" s="126"/>
    </row>
    <row r="5" spans="1:5" s="1419" customFormat="1" ht="30" customHeight="1">
      <c r="A5" s="967"/>
      <c r="B5" s="1036" t="s">
        <v>354</v>
      </c>
      <c r="C5" s="586"/>
      <c r="D5" s="871"/>
      <c r="E5" s="147"/>
    </row>
    <row r="6" spans="1:5" s="1419" customFormat="1" ht="24.95" customHeight="1">
      <c r="A6" s="967"/>
      <c r="B6" s="55" t="s">
        <v>439</v>
      </c>
      <c r="C6" s="586"/>
      <c r="D6" s="871"/>
      <c r="E6" s="147"/>
    </row>
    <row r="7" spans="1:5" s="1419" customFormat="1" ht="24.95" customHeight="1">
      <c r="A7" s="967"/>
      <c r="B7" s="55" t="s">
        <v>342</v>
      </c>
      <c r="C7" s="586"/>
      <c r="D7" s="871"/>
      <c r="E7" s="147"/>
    </row>
    <row r="8" spans="1:5" ht="15" customHeight="1" thickBot="1">
      <c r="A8" s="882"/>
      <c r="B8" s="927"/>
      <c r="C8" s="927"/>
      <c r="D8" s="929"/>
      <c r="E8" s="44"/>
    </row>
    <row r="9" spans="1:5" ht="120" customHeight="1">
      <c r="A9" s="882"/>
      <c r="B9" s="1619" t="s">
        <v>320</v>
      </c>
      <c r="C9" s="1620" t="s">
        <v>424</v>
      </c>
      <c r="D9" s="891"/>
      <c r="E9" s="44"/>
    </row>
    <row r="10" spans="1:5" ht="24.95" customHeight="1">
      <c r="A10" s="882"/>
      <c r="B10" s="1195"/>
      <c r="C10" s="1197" t="s">
        <v>18</v>
      </c>
      <c r="D10" s="891"/>
      <c r="E10" s="44"/>
    </row>
    <row r="11" spans="1:5" ht="24.95" customHeight="1">
      <c r="A11" s="882"/>
      <c r="B11" s="937"/>
      <c r="C11" s="1197" t="s">
        <v>31</v>
      </c>
      <c r="D11" s="891"/>
      <c r="E11" s="44"/>
    </row>
    <row r="12" spans="1:5" ht="24.95" customHeight="1" thickBot="1">
      <c r="A12" s="882"/>
      <c r="B12" s="938"/>
      <c r="C12" s="1617">
        <v>1</v>
      </c>
      <c r="D12" s="891"/>
      <c r="E12" s="44"/>
    </row>
    <row r="13" spans="1:5" ht="35.1" customHeight="1">
      <c r="A13" s="882"/>
      <c r="B13" s="939" t="s">
        <v>462</v>
      </c>
      <c r="C13" s="1257">
        <v>7</v>
      </c>
      <c r="D13" s="891"/>
      <c r="E13" s="44"/>
    </row>
    <row r="14" spans="1:5" ht="35.1" customHeight="1">
      <c r="A14" s="882"/>
      <c r="B14" s="939" t="s">
        <v>463</v>
      </c>
      <c r="C14" s="1257">
        <v>1</v>
      </c>
      <c r="D14" s="891"/>
      <c r="E14" s="44"/>
    </row>
    <row r="15" spans="1:5" ht="35.1" customHeight="1">
      <c r="A15" s="882"/>
      <c r="B15" s="939"/>
      <c r="C15" s="1257"/>
      <c r="D15" s="891"/>
      <c r="E15" s="44"/>
    </row>
    <row r="16" spans="1:5" ht="35.1" customHeight="1">
      <c r="A16" s="882"/>
      <c r="B16" s="939"/>
      <c r="C16" s="1257"/>
      <c r="D16" s="891"/>
      <c r="E16" s="44"/>
    </row>
    <row r="17" spans="1:5" ht="35.1" customHeight="1">
      <c r="A17" s="882"/>
      <c r="B17" s="939"/>
      <c r="C17" s="1257"/>
      <c r="D17" s="891"/>
      <c r="E17" s="44"/>
    </row>
    <row r="18" spans="1:5" ht="35.1" customHeight="1">
      <c r="A18" s="882"/>
      <c r="B18" s="939"/>
      <c r="C18" s="1257"/>
      <c r="D18" s="891"/>
      <c r="E18" s="44"/>
    </row>
    <row r="19" spans="1:5" ht="35.1" customHeight="1">
      <c r="A19" s="882"/>
      <c r="B19" s="939"/>
      <c r="C19" s="1257"/>
      <c r="D19" s="891"/>
      <c r="E19" s="126"/>
    </row>
    <row r="20" spans="1:5" ht="35.1" customHeight="1">
      <c r="A20" s="882"/>
      <c r="B20" s="939"/>
      <c r="C20" s="1257"/>
      <c r="D20" s="891"/>
      <c r="E20" s="1194"/>
    </row>
    <row r="21" spans="1:5" ht="35.1" customHeight="1">
      <c r="A21" s="882"/>
      <c r="B21" s="939"/>
      <c r="C21" s="1257"/>
      <c r="D21" s="891"/>
      <c r="E21" s="126"/>
    </row>
    <row r="22" spans="1:5" ht="35.1" customHeight="1">
      <c r="A22" s="882"/>
      <c r="B22" s="1192"/>
      <c r="C22" s="1259"/>
      <c r="D22" s="891"/>
      <c r="E22" s="1792" t="s">
        <v>319</v>
      </c>
    </row>
    <row r="23" spans="1:5" ht="35.1" customHeight="1">
      <c r="A23" s="882"/>
      <c r="B23" s="1193" t="s">
        <v>2</v>
      </c>
      <c r="C23" s="1621">
        <f>SUM(C13:C22)</f>
        <v>8</v>
      </c>
      <c r="D23" s="891"/>
      <c r="E23" s="1792"/>
    </row>
    <row r="24" spans="1:5" ht="35.1" customHeight="1">
      <c r="A24" s="882"/>
      <c r="B24" s="940" t="s">
        <v>194</v>
      </c>
      <c r="C24" s="1201">
        <f>VLOOKUP(Background!$C$2,Inst_FPs,12,FALSE)</f>
        <v>8</v>
      </c>
      <c r="D24" s="891"/>
      <c r="E24" s="1792"/>
    </row>
    <row r="25" spans="1:5" ht="35.1" customHeight="1" thickBot="1">
      <c r="A25" s="882"/>
      <c r="B25" s="941" t="s">
        <v>317</v>
      </c>
      <c r="C25" s="1112">
        <f>IF(C24&gt;0,C23-C24,"")</f>
        <v>0</v>
      </c>
      <c r="D25" s="891"/>
      <c r="E25" s="1622">
        <f>IF(AND(C24&gt;0,C23&gt;0),MIN(C23,C24),0)</f>
        <v>8</v>
      </c>
    </row>
    <row r="26" spans="1:5" ht="30" customHeight="1">
      <c r="A26" s="882"/>
      <c r="B26" s="1072" t="s">
        <v>426</v>
      </c>
      <c r="C26" s="530"/>
      <c r="D26" s="891"/>
      <c r="E26" s="44"/>
    </row>
    <row r="27" spans="1:5" ht="20.100000000000001" customHeight="1">
      <c r="A27" s="882"/>
      <c r="B27" s="1072" t="s">
        <v>425</v>
      </c>
      <c r="C27" s="530"/>
      <c r="D27" s="891"/>
      <c r="E27" s="44"/>
    </row>
    <row r="28" spans="1:5" ht="20.100000000000001" customHeight="1">
      <c r="A28" s="907"/>
      <c r="B28" s="904"/>
      <c r="C28" s="904"/>
      <c r="D28" s="906"/>
      <c r="E28" s="44"/>
    </row>
    <row r="29" spans="1:5" s="1437" customFormat="1"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sheetData>
  <sheetProtection password="E23E" sheet="1" objects="1" scenarios="1"/>
  <mergeCells count="1">
    <mergeCell ref="E22:E24"/>
  </mergeCells>
  <conditionalFormatting sqref="B2">
    <cfRule type="expression" dxfId="24" priority="18" stopIfTrue="1">
      <formula>#REF!=0</formula>
    </cfRule>
  </conditionalFormatting>
  <conditionalFormatting sqref="B8">
    <cfRule type="expression" dxfId="23" priority="10" stopIfTrue="1">
      <formula>#REF!=0</formula>
    </cfRule>
  </conditionalFormatting>
  <conditionalFormatting sqref="A1:D1">
    <cfRule type="expression" dxfId="22" priority="107">
      <formula>#REF!=0</formula>
    </cfRule>
  </conditionalFormatting>
  <conditionalFormatting sqref="B13:C22">
    <cfRule type="expression" dxfId="21" priority="108">
      <formula>$C$4=0</formula>
    </cfRule>
  </conditionalFormatting>
  <dataValidations count="1">
    <dataValidation allowBlank="1" sqref="B28 E25:E28 E22 B4 C2 B29:E65497 C9:C28 E2:E18 B9:B25 D5:D28 F1:IO1048576"/>
  </dataValidations>
  <pageMargins left="0.19685039370078741" right="0.19685039370078741" top="0.19685039370078741" bottom="0.39370078740157483" header="0" footer="0"/>
  <pageSetup paperSize="9" scale="6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4"/>
  <sheetViews>
    <sheetView zoomScale="80" zoomScaleNormal="80" workbookViewId="0"/>
  </sheetViews>
  <sheetFormatPr defaultColWidth="9.140625" defaultRowHeight="15"/>
  <cols>
    <col min="1" max="1" width="2.7109375" style="1405" customWidth="1"/>
    <col min="2" max="2" width="110.7109375" style="1405" customWidth="1"/>
    <col min="3" max="3" width="18.7109375" style="1438" customWidth="1"/>
    <col min="4" max="4" width="12.7109375" style="1405" customWidth="1"/>
    <col min="5" max="5" width="14.5703125" style="1405" hidden="1" customWidth="1"/>
    <col min="6" max="16384" width="9.140625" style="1405"/>
  </cols>
  <sheetData>
    <row r="1" spans="1:5" ht="39.950000000000003" customHeight="1">
      <c r="A1" s="534"/>
      <c r="B1" s="579" t="str">
        <f>IF(C4=0,"Your Institution Does Not Complete This Table","")</f>
        <v/>
      </c>
      <c r="C1" s="43"/>
      <c r="D1" s="534"/>
      <c r="E1" s="44"/>
    </row>
    <row r="2" spans="1:5" s="1436" customFormat="1" ht="30" customHeight="1">
      <c r="A2" s="1074"/>
      <c r="B2" s="865" t="s">
        <v>371</v>
      </c>
      <c r="C2" s="866"/>
      <c r="D2" s="928"/>
      <c r="E2" s="868"/>
    </row>
    <row r="3" spans="1:5" ht="35.1" customHeight="1">
      <c r="A3" s="882"/>
      <c r="B3" s="1070" t="s">
        <v>0</v>
      </c>
      <c r="C3" s="534"/>
      <c r="D3" s="970"/>
      <c r="E3" s="126"/>
    </row>
    <row r="4" spans="1:5" ht="35.1" customHeight="1">
      <c r="A4" s="882"/>
      <c r="B4" s="947" t="str">
        <f>Background!$D$2</f>
        <v>Glasgow, University of</v>
      </c>
      <c r="C4" s="966">
        <f>VLOOKUP(Background!$C$2,Inst_Tables,12,FALSE)</f>
        <v>1</v>
      </c>
      <c r="D4" s="1208"/>
      <c r="E4" s="126"/>
    </row>
    <row r="5" spans="1:5" s="1419" customFormat="1" ht="35.1" customHeight="1">
      <c r="A5" s="967"/>
      <c r="B5" s="1036" t="s">
        <v>355</v>
      </c>
      <c r="C5" s="586"/>
      <c r="D5" s="1202"/>
      <c r="E5" s="147"/>
    </row>
    <row r="6" spans="1:5" s="1419" customFormat="1" ht="30" customHeight="1">
      <c r="A6" s="967"/>
      <c r="B6" s="55" t="s">
        <v>341</v>
      </c>
      <c r="C6" s="586"/>
      <c r="D6" s="1202"/>
      <c r="E6" s="147"/>
    </row>
    <row r="7" spans="1:5" s="1419" customFormat="1" ht="24.95" customHeight="1">
      <c r="A7" s="967"/>
      <c r="B7" s="55" t="s">
        <v>342</v>
      </c>
      <c r="C7" s="586"/>
      <c r="D7" s="1202"/>
      <c r="E7" s="147"/>
    </row>
    <row r="8" spans="1:5" ht="15" customHeight="1" thickBot="1">
      <c r="A8" s="882"/>
      <c r="B8" s="590"/>
      <c r="C8" s="872"/>
      <c r="D8" s="970"/>
      <c r="E8" s="126"/>
    </row>
    <row r="9" spans="1:5" ht="99.95" customHeight="1">
      <c r="A9" s="882"/>
      <c r="B9" s="295"/>
      <c r="C9" s="1209" t="s">
        <v>421</v>
      </c>
      <c r="D9" s="1196"/>
      <c r="E9" s="126"/>
    </row>
    <row r="10" spans="1:5" ht="24.95" customHeight="1">
      <c r="A10" s="882"/>
      <c r="B10" s="936" t="s">
        <v>204</v>
      </c>
      <c r="C10" s="1197" t="s">
        <v>18</v>
      </c>
      <c r="D10" s="1196"/>
      <c r="E10" s="44"/>
    </row>
    <row r="11" spans="1:5" ht="24.95" customHeight="1">
      <c r="A11" s="882"/>
      <c r="B11" s="937"/>
      <c r="C11" s="1197" t="s">
        <v>31</v>
      </c>
      <c r="D11" s="1196"/>
      <c r="E11" s="44"/>
    </row>
    <row r="12" spans="1:5" ht="24.95" customHeight="1" thickBot="1">
      <c r="A12" s="882"/>
      <c r="B12" s="938"/>
      <c r="C12" s="1617">
        <v>1</v>
      </c>
      <c r="D12" s="1203"/>
      <c r="E12" s="44"/>
    </row>
    <row r="13" spans="1:5" ht="35.1" customHeight="1">
      <c r="A13" s="882"/>
      <c r="B13" s="949" t="s">
        <v>467</v>
      </c>
      <c r="C13" s="1198">
        <v>35</v>
      </c>
      <c r="D13" s="1196"/>
      <c r="E13" s="44"/>
    </row>
    <row r="14" spans="1:5" ht="35.1" customHeight="1">
      <c r="A14" s="882"/>
      <c r="B14" s="948"/>
      <c r="C14" s="1199"/>
      <c r="D14" s="1196"/>
      <c r="E14" s="44"/>
    </row>
    <row r="15" spans="1:5" ht="35.1" customHeight="1">
      <c r="A15" s="882"/>
      <c r="B15" s="948"/>
      <c r="C15" s="1199"/>
      <c r="D15" s="1196"/>
      <c r="E15" s="126"/>
    </row>
    <row r="16" spans="1:5" ht="35.1" customHeight="1">
      <c r="A16" s="882"/>
      <c r="B16" s="948"/>
      <c r="C16" s="1199"/>
      <c r="D16" s="1196"/>
      <c r="E16" s="126"/>
    </row>
    <row r="17" spans="1:5" ht="35.1" customHeight="1">
      <c r="A17" s="882"/>
      <c r="B17" s="948"/>
      <c r="C17" s="1198"/>
      <c r="D17" s="1196"/>
      <c r="E17" s="126"/>
    </row>
    <row r="18" spans="1:5" ht="35.1" customHeight="1">
      <c r="A18" s="882"/>
      <c r="B18" s="948"/>
      <c r="C18" s="1199"/>
      <c r="D18" s="1196"/>
      <c r="E18" s="126"/>
    </row>
    <row r="19" spans="1:5" ht="35.1" customHeight="1">
      <c r="A19" s="882"/>
      <c r="B19" s="948"/>
      <c r="C19" s="1199"/>
      <c r="D19" s="1196"/>
      <c r="E19" s="126"/>
    </row>
    <row r="20" spans="1:5" ht="35.1" customHeight="1">
      <c r="A20" s="882"/>
      <c r="B20" s="948"/>
      <c r="C20" s="1199"/>
      <c r="D20" s="1196"/>
      <c r="E20" s="126"/>
    </row>
    <row r="21" spans="1:5" ht="35.1" customHeight="1">
      <c r="A21" s="882"/>
      <c r="B21" s="948"/>
      <c r="C21" s="1199"/>
      <c r="D21" s="1196"/>
      <c r="E21" s="126"/>
    </row>
    <row r="22" spans="1:5" ht="35.1" customHeight="1">
      <c r="A22" s="882"/>
      <c r="B22" s="948"/>
      <c r="C22" s="1199"/>
      <c r="D22" s="1196"/>
      <c r="E22" s="126"/>
    </row>
    <row r="23" spans="1:5" ht="35.1" customHeight="1">
      <c r="A23" s="882"/>
      <c r="B23" s="948"/>
      <c r="C23" s="1198"/>
      <c r="D23" s="1196"/>
      <c r="E23" s="126"/>
    </row>
    <row r="24" spans="1:5" ht="35.1" customHeight="1">
      <c r="A24" s="882"/>
      <c r="B24" s="948"/>
      <c r="C24" s="1199"/>
      <c r="D24" s="1196"/>
      <c r="E24" s="126"/>
    </row>
    <row r="25" spans="1:5" ht="35.1" customHeight="1">
      <c r="A25" s="882"/>
      <c r="B25" s="948"/>
      <c r="C25" s="1199"/>
      <c r="D25" s="1196"/>
      <c r="E25" s="126"/>
    </row>
    <row r="26" spans="1:5" ht="35.1" customHeight="1">
      <c r="A26" s="882"/>
      <c r="B26" s="948"/>
      <c r="C26" s="1199"/>
      <c r="D26" s="1196"/>
      <c r="E26" s="126"/>
    </row>
    <row r="27" spans="1:5" ht="35.1" customHeight="1" thickBot="1">
      <c r="A27" s="882"/>
      <c r="B27" s="961"/>
      <c r="C27" s="1198"/>
      <c r="D27" s="1196"/>
      <c r="E27" s="1793" t="s">
        <v>319</v>
      </c>
    </row>
    <row r="28" spans="1:5" ht="35.1" customHeight="1">
      <c r="A28" s="882"/>
      <c r="B28" s="963" t="s">
        <v>2</v>
      </c>
      <c r="C28" s="1200">
        <f>SUM(C13:C27)</f>
        <v>35</v>
      </c>
      <c r="D28" s="1204"/>
      <c r="E28" s="1793"/>
    </row>
    <row r="29" spans="1:5" ht="35.1" customHeight="1">
      <c r="A29" s="882"/>
      <c r="B29" s="940" t="s">
        <v>194</v>
      </c>
      <c r="C29" s="1201">
        <f>VLOOKUP(Background!$C$2,Inst_FPs,13,FALSE)</f>
        <v>25</v>
      </c>
      <c r="D29" s="1204"/>
      <c r="E29" s="1793"/>
    </row>
    <row r="30" spans="1:5" ht="35.1" customHeight="1" thickBot="1">
      <c r="A30" s="882"/>
      <c r="B30" s="941" t="s">
        <v>317</v>
      </c>
      <c r="C30" s="1112">
        <f>IF(C29&gt;0,C28-C29,"")</f>
        <v>10</v>
      </c>
      <c r="D30" s="1204"/>
      <c r="E30" s="875">
        <f>IF(AND(C28&gt;0,C29&gt;0),MIN(C28,C29),0)</f>
        <v>25</v>
      </c>
    </row>
    <row r="31" spans="1:5" s="1435" customFormat="1" ht="30" customHeight="1">
      <c r="A31" s="1077"/>
      <c r="B31" s="1078" t="s">
        <v>323</v>
      </c>
      <c r="C31" s="715"/>
      <c r="D31" s="1196"/>
      <c r="E31" s="248"/>
    </row>
    <row r="32" spans="1:5" s="1435" customFormat="1" ht="20.100000000000001" customHeight="1">
      <c r="A32" s="1077"/>
      <c r="B32" s="1072" t="s">
        <v>324</v>
      </c>
      <c r="C32" s="715"/>
      <c r="D32" s="1196"/>
      <c r="E32" s="248"/>
    </row>
    <row r="33" spans="1:5" s="1435" customFormat="1" ht="20.100000000000001" customHeight="1">
      <c r="A33" s="924"/>
      <c r="B33" s="925"/>
      <c r="C33" s="925"/>
      <c r="D33" s="926"/>
      <c r="E33" s="248"/>
    </row>
    <row r="34" spans="1:5" ht="15.75" customHeight="1"/>
    <row r="35" spans="1:5" ht="15.75" customHeight="1"/>
    <row r="36" spans="1:5" ht="15.75" customHeight="1"/>
    <row r="37" spans="1:5" ht="15.75" customHeight="1">
      <c r="C37" s="1405"/>
    </row>
    <row r="38" spans="1:5" ht="15.75" customHeight="1"/>
    <row r="39" spans="1:5" ht="15.75" customHeight="1"/>
    <row r="40" spans="1:5" ht="15.75" customHeight="1"/>
    <row r="41" spans="1:5" ht="15.75" customHeight="1"/>
    <row r="42" spans="1:5" ht="15.75" customHeight="1"/>
    <row r="43" spans="1:5" ht="15.75" customHeight="1"/>
    <row r="44" spans="1:5" ht="15.75" customHeight="1"/>
    <row r="45" spans="1:5" ht="15.75" customHeight="1"/>
    <row r="46" spans="1:5" ht="15.75" customHeight="1"/>
    <row r="47" spans="1:5" ht="15.75" customHeight="1"/>
    <row r="48" spans="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sheetData>
  <sheetProtection password="E23E" sheet="1" objects="1" scenarios="1"/>
  <mergeCells count="1">
    <mergeCell ref="E27:E29"/>
  </mergeCells>
  <conditionalFormatting sqref="B2">
    <cfRule type="expression" dxfId="20" priority="16" stopIfTrue="1">
      <formula>#REF!=0</formula>
    </cfRule>
  </conditionalFormatting>
  <conditionalFormatting sqref="B8">
    <cfRule type="expression" dxfId="19" priority="10" stopIfTrue="1">
      <formula>#REF!=0</formula>
    </cfRule>
  </conditionalFormatting>
  <conditionalFormatting sqref="A1:C1">
    <cfRule type="expression" dxfId="18" priority="109" stopIfTrue="1">
      <formula>$C$4=0</formula>
    </cfRule>
  </conditionalFormatting>
  <conditionalFormatting sqref="B13:C27">
    <cfRule type="expression" dxfId="17" priority="110">
      <formula>$C$4=0</formula>
    </cfRule>
  </conditionalFormatting>
  <dataValidations count="1">
    <dataValidation allowBlank="1" sqref="F1:IL1048576 B33:B65501 C38:C65501 B9:B30 B4 C2:D2 C9:C36 D28:D65501 D5:D12 E30:E1048576 E27 E1:E25"/>
  </dataValidations>
  <pageMargins left="0.19685039370078741" right="0.19685039370078741" top="0.19685039370078741" bottom="0.19685039370078741" header="0" footer="0"/>
  <pageSetup paperSize="9" scale="5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zoomScale="80" zoomScaleNormal="80" workbookViewId="0"/>
  </sheetViews>
  <sheetFormatPr defaultColWidth="9.140625" defaultRowHeight="15"/>
  <cols>
    <col min="1" max="1" width="2.7109375" style="1405" customWidth="1"/>
    <col min="2" max="2" width="110.7109375" style="1405" customWidth="1"/>
    <col min="3" max="3" width="18.7109375" style="1438" customWidth="1"/>
    <col min="4" max="4" width="10.7109375" style="1405" customWidth="1"/>
    <col min="5" max="5" width="12.7109375" style="1405" hidden="1" customWidth="1"/>
    <col min="6" max="16384" width="9.140625" style="1405"/>
  </cols>
  <sheetData>
    <row r="1" spans="1:5" ht="39.950000000000003" customHeight="1">
      <c r="A1" s="534"/>
      <c r="B1" s="579" t="str">
        <f>IF(C4=0,"Your Institution Does Not Complete This Table","")</f>
        <v/>
      </c>
      <c r="C1" s="43"/>
      <c r="D1" s="43"/>
      <c r="E1" s="44"/>
    </row>
    <row r="2" spans="1:5" s="1436" customFormat="1" ht="30" customHeight="1">
      <c r="A2" s="1074"/>
      <c r="B2" s="865" t="s">
        <v>372</v>
      </c>
      <c r="C2" s="866"/>
      <c r="D2" s="867"/>
      <c r="E2" s="868"/>
    </row>
    <row r="3" spans="1:5" ht="35.1" customHeight="1">
      <c r="A3" s="882"/>
      <c r="B3" s="1070" t="s">
        <v>0</v>
      </c>
      <c r="C3" s="530"/>
      <c r="D3" s="945"/>
      <c r="E3" s="126"/>
    </row>
    <row r="4" spans="1:5" ht="30" customHeight="1">
      <c r="A4" s="882"/>
      <c r="B4" s="947" t="str">
        <f>Background!$D$2</f>
        <v>Glasgow, University of</v>
      </c>
      <c r="C4" s="946">
        <f>VLOOKUP(Background!$C$2,Inst_Tables,13,FALSE)</f>
        <v>1</v>
      </c>
      <c r="D4" s="945"/>
      <c r="E4" s="126"/>
    </row>
    <row r="5" spans="1:5" s="1419" customFormat="1" ht="30" customHeight="1">
      <c r="A5" s="967"/>
      <c r="B5" s="1036" t="s">
        <v>373</v>
      </c>
      <c r="C5" s="586"/>
      <c r="D5" s="871"/>
      <c r="E5" s="147"/>
    </row>
    <row r="6" spans="1:5" s="1419" customFormat="1" ht="30" customHeight="1">
      <c r="A6" s="967"/>
      <c r="B6" s="55" t="s">
        <v>440</v>
      </c>
      <c r="C6" s="586"/>
      <c r="D6" s="871"/>
      <c r="E6" s="147"/>
    </row>
    <row r="7" spans="1:5" s="1419" customFormat="1" ht="24.95" customHeight="1">
      <c r="A7" s="967"/>
      <c r="B7" s="55" t="s">
        <v>342</v>
      </c>
      <c r="C7" s="586"/>
      <c r="D7" s="871"/>
      <c r="E7" s="147"/>
    </row>
    <row r="8" spans="1:5" ht="15" customHeight="1" thickBot="1">
      <c r="A8" s="882"/>
      <c r="B8" s="1079"/>
      <c r="C8" s="943"/>
      <c r="D8" s="898"/>
      <c r="E8" s="126"/>
    </row>
    <row r="9" spans="1:5" ht="99.95" customHeight="1">
      <c r="A9" s="882"/>
      <c r="B9" s="935"/>
      <c r="C9" s="1209" t="s">
        <v>422</v>
      </c>
      <c r="D9" s="871"/>
      <c r="E9" s="126"/>
    </row>
    <row r="10" spans="1:5" ht="24.95" customHeight="1">
      <c r="A10" s="882"/>
      <c r="B10" s="1210" t="s">
        <v>203</v>
      </c>
      <c r="C10" s="950" t="s">
        <v>18</v>
      </c>
      <c r="D10" s="887"/>
      <c r="E10" s="44"/>
    </row>
    <row r="11" spans="1:5" ht="24.95" customHeight="1">
      <c r="A11" s="882"/>
      <c r="B11" s="937"/>
      <c r="C11" s="950" t="s">
        <v>31</v>
      </c>
      <c r="D11" s="887"/>
      <c r="E11" s="44"/>
    </row>
    <row r="12" spans="1:5" ht="24.95" customHeight="1" thickBot="1">
      <c r="A12" s="882"/>
      <c r="B12" s="938"/>
      <c r="C12" s="1618">
        <v>1</v>
      </c>
      <c r="D12" s="674"/>
      <c r="E12" s="44"/>
    </row>
    <row r="13" spans="1:5" ht="35.1" customHeight="1">
      <c r="A13" s="882"/>
      <c r="B13" s="949" t="s">
        <v>443</v>
      </c>
      <c r="C13" s="951">
        <v>5</v>
      </c>
      <c r="D13" s="674"/>
      <c r="E13" s="44"/>
    </row>
    <row r="14" spans="1:5" ht="35.1" customHeight="1">
      <c r="A14" s="882"/>
      <c r="B14" s="1629" t="s">
        <v>454</v>
      </c>
      <c r="C14" s="952">
        <v>5.5</v>
      </c>
      <c r="D14" s="891"/>
      <c r="E14" s="44"/>
    </row>
    <row r="15" spans="1:5" ht="35.1" customHeight="1">
      <c r="A15" s="882"/>
      <c r="B15" s="1630" t="s">
        <v>455</v>
      </c>
      <c r="C15" s="952">
        <v>6</v>
      </c>
      <c r="D15" s="891"/>
      <c r="E15" s="126"/>
    </row>
    <row r="16" spans="1:5" ht="35.1" customHeight="1">
      <c r="A16" s="882"/>
      <c r="B16" s="1631" t="s">
        <v>456</v>
      </c>
      <c r="C16" s="952">
        <v>3.5</v>
      </c>
      <c r="D16" s="891"/>
      <c r="E16" s="126"/>
    </row>
    <row r="17" spans="1:5" ht="35.1" customHeight="1">
      <c r="A17" s="882"/>
      <c r="B17" s="1632" t="s">
        <v>444</v>
      </c>
      <c r="C17" s="951">
        <v>8</v>
      </c>
      <c r="D17" s="891"/>
      <c r="E17" s="126"/>
    </row>
    <row r="18" spans="1:5" ht="35.1" customHeight="1">
      <c r="A18" s="882"/>
      <c r="B18" s="1633" t="s">
        <v>445</v>
      </c>
      <c r="C18" s="952">
        <v>9</v>
      </c>
      <c r="D18" s="891"/>
      <c r="E18" s="126"/>
    </row>
    <row r="19" spans="1:5" ht="35.1" customHeight="1">
      <c r="A19" s="882"/>
      <c r="B19" s="1634" t="s">
        <v>446</v>
      </c>
      <c r="C19" s="952">
        <v>5</v>
      </c>
      <c r="D19" s="891"/>
      <c r="E19" s="126"/>
    </row>
    <row r="20" spans="1:5" ht="35.1" customHeight="1">
      <c r="A20" s="882"/>
      <c r="B20" s="1635" t="s">
        <v>447</v>
      </c>
      <c r="C20" s="952">
        <v>9.5</v>
      </c>
      <c r="D20" s="891"/>
      <c r="E20" s="126"/>
    </row>
    <row r="21" spans="1:5" ht="35.1" customHeight="1">
      <c r="A21" s="882"/>
      <c r="B21" s="1636" t="s">
        <v>448</v>
      </c>
      <c r="C21" s="952">
        <v>11.5</v>
      </c>
      <c r="D21" s="891"/>
      <c r="E21" s="126"/>
    </row>
    <row r="22" spans="1:5" ht="35.1" customHeight="1">
      <c r="A22" s="882"/>
      <c r="B22" s="1637" t="s">
        <v>449</v>
      </c>
      <c r="C22" s="952">
        <v>3</v>
      </c>
      <c r="D22" s="891"/>
      <c r="E22" s="126"/>
    </row>
    <row r="23" spans="1:5" ht="35.1" customHeight="1">
      <c r="A23" s="882"/>
      <c r="B23" s="1638" t="s">
        <v>450</v>
      </c>
      <c r="C23" s="951">
        <v>1</v>
      </c>
      <c r="D23" s="891"/>
      <c r="E23" s="126"/>
    </row>
    <row r="24" spans="1:5" ht="35.1" customHeight="1">
      <c r="A24" s="882"/>
      <c r="B24" s="1639" t="s">
        <v>451</v>
      </c>
      <c r="C24" s="952">
        <v>10</v>
      </c>
      <c r="D24" s="891"/>
      <c r="E24" s="126"/>
    </row>
    <row r="25" spans="1:5" ht="35.1" customHeight="1">
      <c r="A25" s="882"/>
      <c r="B25" s="1640" t="s">
        <v>452</v>
      </c>
      <c r="C25" s="952">
        <v>9</v>
      </c>
      <c r="D25" s="891"/>
      <c r="E25" s="126"/>
    </row>
    <row r="26" spans="1:5" ht="35.1" customHeight="1">
      <c r="A26" s="1081"/>
      <c r="B26" s="1641" t="s">
        <v>453</v>
      </c>
      <c r="C26" s="952">
        <v>6.5</v>
      </c>
      <c r="D26" s="970"/>
      <c r="E26" s="126"/>
    </row>
    <row r="27" spans="1:5" ht="35.1" customHeight="1">
      <c r="A27" s="1081"/>
      <c r="B27" s="1642" t="s">
        <v>457</v>
      </c>
      <c r="C27" s="952">
        <v>3.5</v>
      </c>
      <c r="D27" s="970"/>
      <c r="E27" s="126"/>
    </row>
    <row r="28" spans="1:5" ht="35.1" customHeight="1">
      <c r="A28" s="1081"/>
      <c r="B28" s="1643" t="s">
        <v>458</v>
      </c>
      <c r="C28" s="952">
        <v>6.9</v>
      </c>
      <c r="D28" s="970"/>
      <c r="E28" s="126"/>
    </row>
    <row r="29" spans="1:5" ht="35.1" customHeight="1">
      <c r="A29" s="1081"/>
      <c r="B29" s="1644" t="s">
        <v>459</v>
      </c>
      <c r="C29" s="952">
        <v>1</v>
      </c>
      <c r="D29" s="970"/>
      <c r="E29" s="126"/>
    </row>
    <row r="30" spans="1:5" ht="35.1" customHeight="1">
      <c r="A30" s="1081"/>
      <c r="B30" s="1645" t="s">
        <v>460</v>
      </c>
      <c r="C30" s="952">
        <v>0.99</v>
      </c>
      <c r="D30" s="970"/>
      <c r="E30" s="126"/>
    </row>
    <row r="31" spans="1:5" ht="35.1" customHeight="1">
      <c r="A31" s="882"/>
      <c r="B31" s="1646" t="s">
        <v>461</v>
      </c>
      <c r="C31" s="952">
        <v>18.100000000000001</v>
      </c>
      <c r="D31" s="891"/>
      <c r="E31" s="126"/>
    </row>
    <row r="32" spans="1:5" ht="35.1" customHeight="1" thickBot="1">
      <c r="A32" s="882"/>
      <c r="B32" s="961"/>
      <c r="C32" s="951"/>
      <c r="D32" s="891"/>
      <c r="E32" s="1793" t="s">
        <v>319</v>
      </c>
    </row>
    <row r="33" spans="1:5" ht="35.1" customHeight="1">
      <c r="A33" s="882"/>
      <c r="B33" s="962" t="s">
        <v>2</v>
      </c>
      <c r="C33" s="965">
        <f>SUM(C13:C32)</f>
        <v>122.99000000000001</v>
      </c>
      <c r="D33" s="891"/>
      <c r="E33" s="1793"/>
    </row>
    <row r="34" spans="1:5" ht="35.1" customHeight="1">
      <c r="A34" s="882"/>
      <c r="B34" s="940" t="s">
        <v>194</v>
      </c>
      <c r="C34" s="953">
        <f>VLOOKUP(Background!$C$2,Inst_FPs,22,FALSE)</f>
        <v>124</v>
      </c>
      <c r="D34" s="891"/>
      <c r="E34" s="1793"/>
    </row>
    <row r="35" spans="1:5" ht="35.1" customHeight="1" thickBot="1">
      <c r="A35" s="882"/>
      <c r="B35" s="954" t="s">
        <v>317</v>
      </c>
      <c r="C35" s="897">
        <f>IF(C34&gt;0,C33-C34,"")</f>
        <v>-1.0099999999999909</v>
      </c>
      <c r="D35" s="891"/>
      <c r="E35" s="875">
        <f>IF(AND(C33&gt;0,C34&gt;0),MIN(C33,C34),0)</f>
        <v>122.99000000000001</v>
      </c>
    </row>
    <row r="36" spans="1:5" ht="30" customHeight="1">
      <c r="A36" s="882"/>
      <c r="B36" s="1078" t="s">
        <v>323</v>
      </c>
      <c r="C36" s="899"/>
      <c r="D36" s="891"/>
      <c r="E36" s="126"/>
    </row>
    <row r="37" spans="1:5" ht="24.95" customHeight="1">
      <c r="A37" s="882"/>
      <c r="B37" s="1072" t="s">
        <v>345</v>
      </c>
      <c r="C37" s="899"/>
      <c r="D37" s="891"/>
      <c r="E37" s="126"/>
    </row>
    <row r="38" spans="1:5" ht="20.100000000000001" customHeight="1">
      <c r="A38" s="907"/>
      <c r="B38" s="904"/>
      <c r="C38" s="905"/>
      <c r="D38" s="906"/>
      <c r="E38" s="126"/>
    </row>
  </sheetData>
  <sheetProtection sheet="1" objects="1" scenarios="1"/>
  <mergeCells count="1">
    <mergeCell ref="E32:E34"/>
  </mergeCells>
  <conditionalFormatting sqref="B2">
    <cfRule type="expression" dxfId="16" priority="13" stopIfTrue="1">
      <formula>#REF!=0</formula>
    </cfRule>
  </conditionalFormatting>
  <conditionalFormatting sqref="A1:D1">
    <cfRule type="expression" dxfId="15" priority="15" stopIfTrue="1">
      <formula>$C$4=0</formula>
    </cfRule>
  </conditionalFormatting>
  <conditionalFormatting sqref="B8">
    <cfRule type="expression" dxfId="14" priority="6" stopIfTrue="1">
      <formula>#REF!=0</formula>
    </cfRule>
  </conditionalFormatting>
  <conditionalFormatting sqref="B13:C32">
    <cfRule type="expression" dxfId="13" priority="101">
      <formula>$C$4=0</formula>
    </cfRule>
  </conditionalFormatting>
  <dataValidations count="1">
    <dataValidation allowBlank="1" sqref="B38 D17:D38 B9:B35 D5:D8 B39:D65412 C2 B4 C9:C38 F1:IM1048576 E1:E32 E35:E1048576"/>
  </dataValidations>
  <pageMargins left="0.19685039370078741" right="0.19685039370078741" top="0.19685039370078741" bottom="0.19685039370078741" header="0" footer="0"/>
  <pageSetup paperSize="9" scale="7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
  <sheetViews>
    <sheetView zoomScale="80" zoomScaleNormal="80" workbookViewId="0"/>
  </sheetViews>
  <sheetFormatPr defaultColWidth="9.140625" defaultRowHeight="15"/>
  <cols>
    <col min="1" max="1" width="2.7109375" style="1405" customWidth="1"/>
    <col min="2" max="2" width="39.42578125" style="1405" customWidth="1"/>
    <col min="3" max="3" width="18.7109375" style="1405" customWidth="1"/>
    <col min="4" max="6" width="18.7109375" style="1438" customWidth="1"/>
    <col min="7" max="7" width="25.7109375" style="1405" customWidth="1"/>
    <col min="8" max="8" width="16.7109375" style="1405" hidden="1" customWidth="1"/>
    <col min="9" max="16384" width="9.140625" style="1405"/>
  </cols>
  <sheetData>
    <row r="1" spans="1:8" ht="39.950000000000003" customHeight="1">
      <c r="A1" s="1020"/>
      <c r="B1" s="579" t="str">
        <f>IF(E4=0,"Your Institution Does Not Complete This Table","")</f>
        <v/>
      </c>
      <c r="C1" s="43"/>
      <c r="D1" s="43"/>
      <c r="E1" s="43"/>
      <c r="F1" s="43"/>
      <c r="G1" s="43"/>
      <c r="H1" s="44"/>
    </row>
    <row r="2" spans="1:8" s="1436" customFormat="1" ht="30" customHeight="1">
      <c r="A2" s="1074"/>
      <c r="B2" s="865" t="s">
        <v>374</v>
      </c>
      <c r="C2" s="865"/>
      <c r="D2" s="866"/>
      <c r="E2" s="866"/>
      <c r="F2" s="866"/>
      <c r="G2" s="867"/>
      <c r="H2" s="868"/>
    </row>
    <row r="3" spans="1:8" s="1436" customFormat="1" ht="15" customHeight="1">
      <c r="A3" s="1080"/>
      <c r="B3" s="1036"/>
      <c r="C3" s="869"/>
      <c r="D3" s="300"/>
      <c r="E3" s="300"/>
      <c r="F3" s="300"/>
      <c r="G3" s="870"/>
      <c r="H3" s="868"/>
    </row>
    <row r="4" spans="1:8" ht="35.1" customHeight="1">
      <c r="A4" s="1081"/>
      <c r="B4" s="1070" t="s">
        <v>0</v>
      </c>
      <c r="C4" s="1794" t="str">
        <f>Background!$D$2</f>
        <v>Glasgow, University of</v>
      </c>
      <c r="D4" s="1795"/>
      <c r="E4" s="200">
        <f>VLOOKUP(Background!$C$2,Inst_Tables,14,FALSE)</f>
        <v>1</v>
      </c>
      <c r="F4" s="534"/>
      <c r="G4" s="970"/>
      <c r="H4" s="126"/>
    </row>
    <row r="5" spans="1:8" s="1419" customFormat="1" ht="35.1" customHeight="1">
      <c r="A5" s="1082"/>
      <c r="B5" s="1036" t="s">
        <v>375</v>
      </c>
      <c r="C5" s="586"/>
      <c r="D5" s="586"/>
      <c r="E5" s="586"/>
      <c r="F5" s="586"/>
      <c r="G5" s="871"/>
      <c r="H5" s="147"/>
    </row>
    <row r="6" spans="1:8" s="1419" customFormat="1" ht="30" customHeight="1">
      <c r="A6" s="1082"/>
      <c r="B6" s="55" t="s">
        <v>441</v>
      </c>
      <c r="C6" s="586"/>
      <c r="D6" s="586"/>
      <c r="E6" s="586"/>
      <c r="F6" s="586"/>
      <c r="G6" s="871"/>
      <c r="H6" s="147"/>
    </row>
    <row r="7" spans="1:8" s="1419" customFormat="1" ht="24.95" customHeight="1">
      <c r="A7" s="1082"/>
      <c r="B7" s="55" t="s">
        <v>342</v>
      </c>
      <c r="C7" s="586"/>
      <c r="D7" s="586"/>
      <c r="E7" s="586"/>
      <c r="F7" s="586"/>
      <c r="G7" s="871"/>
      <c r="H7" s="147"/>
    </row>
    <row r="8" spans="1:8" s="1419" customFormat="1" ht="30" customHeight="1">
      <c r="A8" s="1082"/>
      <c r="B8" s="1071" t="s">
        <v>272</v>
      </c>
      <c r="C8" s="586"/>
      <c r="D8" s="586"/>
      <c r="E8" s="586"/>
      <c r="F8" s="586"/>
      <c r="G8" s="871"/>
      <c r="H8" s="147"/>
    </row>
    <row r="9" spans="1:8" s="1419" customFormat="1" ht="15" customHeight="1" thickBot="1">
      <c r="A9" s="1082"/>
      <c r="B9" s="590"/>
      <c r="C9" s="586"/>
      <c r="D9" s="586"/>
      <c r="E9" s="872"/>
      <c r="F9" s="200"/>
      <c r="G9" s="871"/>
      <c r="H9" s="147"/>
    </row>
    <row r="10" spans="1:8" ht="84.95" customHeight="1">
      <c r="A10" s="1081"/>
      <c r="B10" s="935"/>
      <c r="C10" s="621" t="s">
        <v>202</v>
      </c>
      <c r="D10" s="621" t="s">
        <v>423</v>
      </c>
      <c r="E10" s="592" t="s">
        <v>317</v>
      </c>
      <c r="F10" s="942"/>
      <c r="G10" s="201"/>
      <c r="H10" s="1804" t="s">
        <v>219</v>
      </c>
    </row>
    <row r="11" spans="1:8" ht="24.95" customHeight="1">
      <c r="A11" s="1081"/>
      <c r="B11" s="936" t="s">
        <v>201</v>
      </c>
      <c r="C11" s="595" t="s">
        <v>18</v>
      </c>
      <c r="D11" s="594" t="s">
        <v>18</v>
      </c>
      <c r="E11" s="596" t="s">
        <v>18</v>
      </c>
      <c r="F11" s="930"/>
      <c r="G11" s="201"/>
      <c r="H11" s="1804"/>
    </row>
    <row r="12" spans="1:8" ht="24.95" customHeight="1">
      <c r="A12" s="1081"/>
      <c r="B12" s="937"/>
      <c r="C12" s="595" t="s">
        <v>57</v>
      </c>
      <c r="D12" s="595" t="s">
        <v>31</v>
      </c>
      <c r="E12" s="596" t="s">
        <v>56</v>
      </c>
      <c r="F12" s="930"/>
      <c r="G12" s="201"/>
      <c r="H12" s="1804"/>
    </row>
    <row r="13" spans="1:8" ht="24.95" customHeight="1" thickBot="1">
      <c r="A13" s="1081"/>
      <c r="B13" s="938"/>
      <c r="C13" s="1615">
        <v>1</v>
      </c>
      <c r="D13" s="1615">
        <v>2</v>
      </c>
      <c r="E13" s="1616">
        <v>3</v>
      </c>
      <c r="F13" s="1214"/>
      <c r="G13" s="201"/>
      <c r="H13" s="126"/>
    </row>
    <row r="14" spans="1:8" ht="35.1" customHeight="1">
      <c r="A14" s="1081"/>
      <c r="B14" s="957" t="s">
        <v>205</v>
      </c>
      <c r="C14" s="960">
        <f>VLOOKUP(Background!$C$2,Inst_FPs,24,FALSE)</f>
        <v>0</v>
      </c>
      <c r="D14" s="876">
        <v>0</v>
      </c>
      <c r="E14" s="877" t="str">
        <f>IF(C14&gt;0,D14-C14,"")</f>
        <v/>
      </c>
      <c r="F14" s="881"/>
      <c r="G14" s="201"/>
      <c r="H14" s="875">
        <f>IF(AND(C14&gt;0,D14&gt;0),MIN(C14,D14),0)</f>
        <v>0</v>
      </c>
    </row>
    <row r="15" spans="1:8" ht="35.1" customHeight="1">
      <c r="A15" s="1081"/>
      <c r="B15" s="958" t="s">
        <v>206</v>
      </c>
      <c r="C15" s="955">
        <f>VLOOKUP(Background!$C$2,Inst_FPs,25,FALSE)</f>
        <v>0</v>
      </c>
      <c r="D15" s="873">
        <v>0</v>
      </c>
      <c r="E15" s="874" t="str">
        <f>IF(C15&gt;0,D15-C15,"")</f>
        <v/>
      </c>
      <c r="F15" s="881"/>
      <c r="G15" s="201"/>
      <c r="H15" s="875">
        <f>IF(AND(C15&gt;0,D15&gt;0),MIN(C15,D15),0)</f>
        <v>0</v>
      </c>
    </row>
    <row r="16" spans="1:8" ht="35.1" customHeight="1" thickBot="1">
      <c r="A16" s="1081"/>
      <c r="B16" s="959" t="s">
        <v>207</v>
      </c>
      <c r="C16" s="956">
        <f>VLOOKUP(Background!$C$2,Inst_FPs,26,FALSE)</f>
        <v>0</v>
      </c>
      <c r="D16" s="878">
        <v>0</v>
      </c>
      <c r="E16" s="879" t="str">
        <f>IF(C16&gt;0,D16-C16,"")</f>
        <v/>
      </c>
      <c r="F16" s="1215"/>
      <c r="G16" s="201"/>
      <c r="H16" s="875">
        <f>IF(AND(C16&gt;0,D16&gt;0),MIN(C16,D16),0)</f>
        <v>0</v>
      </c>
    </row>
    <row r="17" spans="1:8" ht="30" customHeight="1">
      <c r="A17" s="1081"/>
      <c r="B17" s="1078" t="s">
        <v>325</v>
      </c>
      <c r="C17" s="880"/>
      <c r="D17" s="880"/>
      <c r="E17" s="881"/>
      <c r="F17" s="881"/>
      <c r="G17" s="201"/>
      <c r="H17" s="875"/>
    </row>
    <row r="18" spans="1:8" ht="20.100000000000001" customHeight="1">
      <c r="A18" s="882"/>
      <c r="B18" s="1072" t="s">
        <v>326</v>
      </c>
      <c r="C18" s="880"/>
      <c r="D18" s="880"/>
      <c r="E18" s="881"/>
      <c r="F18" s="881"/>
      <c r="G18" s="1213"/>
      <c r="H18" s="875"/>
    </row>
    <row r="19" spans="1:8" ht="24.95" customHeight="1">
      <c r="A19" s="1081"/>
      <c r="B19" s="1072" t="s">
        <v>327</v>
      </c>
      <c r="C19" s="880"/>
      <c r="D19" s="880"/>
      <c r="E19" s="881"/>
      <c r="F19" s="881"/>
      <c r="G19" s="201"/>
      <c r="H19" s="875"/>
    </row>
    <row r="20" spans="1:8" ht="20.100000000000001" customHeight="1">
      <c r="A20" s="1081"/>
      <c r="B20" s="1072" t="s">
        <v>328</v>
      </c>
      <c r="C20" s="880"/>
      <c r="D20" s="880"/>
      <c r="E20" s="881"/>
      <c r="F20" s="881"/>
      <c r="G20" s="1213"/>
      <c r="H20" s="875"/>
    </row>
    <row r="21" spans="1:8" ht="30" customHeight="1">
      <c r="A21" s="1081"/>
      <c r="B21" s="1071" t="s">
        <v>271</v>
      </c>
      <c r="C21" s="883"/>
      <c r="D21" s="883"/>
      <c r="E21" s="883"/>
      <c r="F21" s="883"/>
      <c r="G21" s="884"/>
      <c r="H21" s="44"/>
    </row>
    <row r="22" spans="1:8" ht="15" customHeight="1" thickBot="1">
      <c r="A22" s="1081"/>
      <c r="B22" s="1083"/>
      <c r="C22" s="586"/>
      <c r="D22" s="586"/>
      <c r="E22" s="872"/>
      <c r="F22" s="200"/>
      <c r="G22" s="884"/>
      <c r="H22" s="44"/>
    </row>
    <row r="23" spans="1:8" ht="69.95" customHeight="1">
      <c r="A23" s="1081"/>
      <c r="B23" s="885"/>
      <c r="C23" s="886"/>
      <c r="D23" s="886"/>
      <c r="E23" s="1216"/>
      <c r="F23" s="1211" t="s">
        <v>419</v>
      </c>
      <c r="G23" s="871"/>
      <c r="H23" s="44"/>
    </row>
    <row r="24" spans="1:8" ht="24.95" customHeight="1">
      <c r="A24" s="1081"/>
      <c r="B24" s="1212" t="s">
        <v>203</v>
      </c>
      <c r="C24" s="883"/>
      <c r="D24" s="883"/>
      <c r="E24" s="970"/>
      <c r="F24" s="596" t="s">
        <v>18</v>
      </c>
      <c r="G24" s="902"/>
      <c r="H24" s="44"/>
    </row>
    <row r="25" spans="1:8" ht="24.95" customHeight="1">
      <c r="A25" s="1081"/>
      <c r="B25" s="888"/>
      <c r="C25" s="883"/>
      <c r="D25" s="883"/>
      <c r="E25" s="970"/>
      <c r="F25" s="596" t="s">
        <v>31</v>
      </c>
      <c r="G25" s="887"/>
      <c r="H25" s="44"/>
    </row>
    <row r="26" spans="1:8" ht="24.95" customHeight="1">
      <c r="A26" s="1081"/>
      <c r="B26" s="1217"/>
      <c r="C26" s="1218"/>
      <c r="D26" s="1218"/>
      <c r="E26" s="970"/>
      <c r="F26" s="1595">
        <v>1</v>
      </c>
      <c r="G26" s="674"/>
      <c r="H26" s="44"/>
    </row>
    <row r="27" spans="1:8" ht="35.1" customHeight="1">
      <c r="A27" s="1081"/>
      <c r="B27" s="1796" t="s">
        <v>464</v>
      </c>
      <c r="C27" s="1797"/>
      <c r="D27" s="1797"/>
      <c r="E27" s="1798"/>
      <c r="F27" s="889">
        <v>38.799999999999997</v>
      </c>
      <c r="G27" s="674"/>
      <c r="H27" s="44"/>
    </row>
    <row r="28" spans="1:8" ht="35.1" customHeight="1">
      <c r="A28" s="1081"/>
      <c r="B28" s="1796" t="s">
        <v>465</v>
      </c>
      <c r="C28" s="1797"/>
      <c r="D28" s="1797"/>
      <c r="E28" s="1798"/>
      <c r="F28" s="890">
        <v>31</v>
      </c>
      <c r="G28" s="891"/>
      <c r="H28" s="44"/>
    </row>
    <row r="29" spans="1:8" ht="35.1" customHeight="1">
      <c r="A29" s="1081"/>
      <c r="B29" s="1796" t="s">
        <v>466</v>
      </c>
      <c r="C29" s="1797"/>
      <c r="D29" s="1797"/>
      <c r="E29" s="1798"/>
      <c r="F29" s="890">
        <v>25</v>
      </c>
      <c r="G29" s="891"/>
      <c r="H29" s="44"/>
    </row>
    <row r="30" spans="1:8" ht="35.1" customHeight="1">
      <c r="A30" s="1081"/>
      <c r="B30" s="1796"/>
      <c r="C30" s="1797"/>
      <c r="D30" s="1797"/>
      <c r="E30" s="1798"/>
      <c r="F30" s="890"/>
      <c r="G30" s="891"/>
      <c r="H30" s="44"/>
    </row>
    <row r="31" spans="1:8" ht="35.1" customHeight="1">
      <c r="A31" s="1081"/>
      <c r="B31" s="1796"/>
      <c r="C31" s="1797"/>
      <c r="D31" s="1797"/>
      <c r="E31" s="1798"/>
      <c r="F31" s="892"/>
      <c r="G31" s="891"/>
      <c r="H31" s="44"/>
    </row>
    <row r="32" spans="1:8" ht="35.1" customHeight="1">
      <c r="A32" s="1081"/>
      <c r="B32" s="1796"/>
      <c r="C32" s="1797"/>
      <c r="D32" s="1797"/>
      <c r="E32" s="1798"/>
      <c r="F32" s="890"/>
      <c r="G32" s="891"/>
      <c r="H32" s="44"/>
    </row>
    <row r="33" spans="1:8" ht="35.1" customHeight="1">
      <c r="A33" s="1081"/>
      <c r="B33" s="1796"/>
      <c r="C33" s="1797"/>
      <c r="D33" s="1797"/>
      <c r="E33" s="1798"/>
      <c r="F33" s="890"/>
      <c r="G33" s="891"/>
      <c r="H33" s="44"/>
    </row>
    <row r="34" spans="1:8" ht="35.1" customHeight="1">
      <c r="A34" s="1081"/>
      <c r="B34" s="1796"/>
      <c r="C34" s="1797"/>
      <c r="D34" s="1797"/>
      <c r="E34" s="1798"/>
      <c r="F34" s="890"/>
      <c r="G34" s="891"/>
      <c r="H34" s="44"/>
    </row>
    <row r="35" spans="1:8" ht="35.1" customHeight="1">
      <c r="A35" s="1081"/>
      <c r="B35" s="1796"/>
      <c r="C35" s="1797"/>
      <c r="D35" s="1797"/>
      <c r="E35" s="1798"/>
      <c r="F35" s="890"/>
      <c r="G35" s="891"/>
      <c r="H35" s="44"/>
    </row>
    <row r="36" spans="1:8" ht="35.1" customHeight="1">
      <c r="A36" s="1081"/>
      <c r="B36" s="1796"/>
      <c r="C36" s="1799"/>
      <c r="D36" s="1799"/>
      <c r="E36" s="1800"/>
      <c r="F36" s="890"/>
      <c r="G36" s="891"/>
      <c r="H36" s="44"/>
    </row>
    <row r="37" spans="1:8" ht="35.1" customHeight="1">
      <c r="A37" s="1081"/>
      <c r="B37" s="1796"/>
      <c r="C37" s="1799"/>
      <c r="D37" s="1799"/>
      <c r="E37" s="1800"/>
      <c r="F37" s="892"/>
      <c r="G37" s="891"/>
      <c r="H37" s="44"/>
    </row>
    <row r="38" spans="1:8" ht="35.1" customHeight="1">
      <c r="A38" s="1081"/>
      <c r="B38" s="1796"/>
      <c r="C38" s="1799"/>
      <c r="D38" s="1799"/>
      <c r="E38" s="1800"/>
      <c r="F38" s="890"/>
      <c r="G38" s="891"/>
      <c r="H38" s="44"/>
    </row>
    <row r="39" spans="1:8" ht="35.1" customHeight="1">
      <c r="A39" s="1081"/>
      <c r="B39" s="1796"/>
      <c r="C39" s="1799"/>
      <c r="D39" s="1799"/>
      <c r="E39" s="1800"/>
      <c r="F39" s="890"/>
      <c r="G39" s="891"/>
      <c r="H39" s="44"/>
    </row>
    <row r="40" spans="1:8" ht="35.1" customHeight="1">
      <c r="A40" s="1081"/>
      <c r="B40" s="1796"/>
      <c r="C40" s="1799"/>
      <c r="D40" s="1799"/>
      <c r="E40" s="1800"/>
      <c r="F40" s="890"/>
      <c r="G40" s="891"/>
      <c r="H40" s="126"/>
    </row>
    <row r="41" spans="1:8" ht="35.1" customHeight="1" thickBot="1">
      <c r="A41" s="1081"/>
      <c r="B41" s="1801"/>
      <c r="C41" s="1802"/>
      <c r="D41" s="1802"/>
      <c r="E41" s="1803"/>
      <c r="F41" s="892"/>
      <c r="G41" s="891"/>
      <c r="H41" s="1793" t="s">
        <v>319</v>
      </c>
    </row>
    <row r="42" spans="1:8" ht="35.1" customHeight="1">
      <c r="A42" s="1081"/>
      <c r="B42" s="1219" t="s">
        <v>2</v>
      </c>
      <c r="C42" s="40"/>
      <c r="D42" s="40"/>
      <c r="E42" s="1220"/>
      <c r="F42" s="965">
        <f>SUM(F27:F41)</f>
        <v>94.8</v>
      </c>
      <c r="G42" s="891"/>
      <c r="H42" s="1793"/>
    </row>
    <row r="43" spans="1:8" ht="35.1" customHeight="1">
      <c r="A43" s="1081"/>
      <c r="B43" s="893" t="s">
        <v>194</v>
      </c>
      <c r="C43" s="894"/>
      <c r="D43" s="932"/>
      <c r="E43" s="934"/>
      <c r="F43" s="953">
        <f>VLOOKUP(Background!$C$2,Inst_FPs,23,FALSE)</f>
        <v>94.8</v>
      </c>
      <c r="G43" s="891"/>
      <c r="H43" s="1793"/>
    </row>
    <row r="44" spans="1:8" ht="35.1" customHeight="1" thickBot="1">
      <c r="A44" s="1081"/>
      <c r="B44" s="895" t="s">
        <v>317</v>
      </c>
      <c r="C44" s="896"/>
      <c r="D44" s="931"/>
      <c r="E44" s="1221"/>
      <c r="F44" s="897">
        <f>IF(F43&gt;0,F42-F43,"")</f>
        <v>0</v>
      </c>
      <c r="G44" s="891"/>
      <c r="H44" s="875">
        <f>IF(AND(F42&gt;0,F43&gt;0),MIN(F42,F43),0)</f>
        <v>94.8</v>
      </c>
    </row>
    <row r="45" spans="1:8" ht="30" customHeight="1">
      <c r="A45" s="1081"/>
      <c r="B45" s="1078" t="s">
        <v>344</v>
      </c>
      <c r="C45" s="530"/>
      <c r="D45" s="899"/>
      <c r="E45" s="899"/>
      <c r="F45" s="899"/>
      <c r="G45" s="891"/>
      <c r="H45" s="903"/>
    </row>
    <row r="46" spans="1:8" ht="15" customHeight="1">
      <c r="A46" s="907"/>
      <c r="B46" s="1073"/>
      <c r="C46" s="904"/>
      <c r="D46" s="905"/>
      <c r="E46" s="905"/>
      <c r="F46" s="905"/>
      <c r="G46" s="906"/>
      <c r="H46" s="44"/>
    </row>
    <row r="47" spans="1:8" s="1437" customFormat="1" ht="15.75" customHeight="1"/>
    <row r="48" spans="1: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sheetData>
  <sheetProtection password="E23E" sheet="1" objects="1" scenarios="1"/>
  <mergeCells count="18">
    <mergeCell ref="B41:E41"/>
    <mergeCell ref="H10:H12"/>
    <mergeCell ref="C4:D4"/>
    <mergeCell ref="H41:H43"/>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s>
  <conditionalFormatting sqref="D14:D16">
    <cfRule type="expression" dxfId="12" priority="14" stopIfTrue="1">
      <formula>C14&gt;0</formula>
    </cfRule>
  </conditionalFormatting>
  <conditionalFormatting sqref="B2">
    <cfRule type="expression" dxfId="11" priority="13" stopIfTrue="1">
      <formula>#REF!=0</formula>
    </cfRule>
  </conditionalFormatting>
  <conditionalFormatting sqref="D42">
    <cfRule type="expression" dxfId="10" priority="12" stopIfTrue="1">
      <formula>C42&gt;0</formula>
    </cfRule>
  </conditionalFormatting>
  <conditionalFormatting sqref="B22">
    <cfRule type="expression" dxfId="9" priority="4" stopIfTrue="1">
      <formula>#REF!=0</formula>
    </cfRule>
  </conditionalFormatting>
  <conditionalFormatting sqref="B27:B41 F27:F41">
    <cfRule type="expression" dxfId="8" priority="111">
      <formula>$F$43=0</formula>
    </cfRule>
  </conditionalFormatting>
  <conditionalFormatting sqref="A1:G1">
    <cfRule type="expression" dxfId="7" priority="112" stopIfTrue="1">
      <formula>$E$4=0</formula>
    </cfRule>
  </conditionalFormatting>
  <dataValidations count="2">
    <dataValidation allowBlank="1" sqref="D2:F3 C2:C4 C10:F13 C42 B23:B44 C23:D26 H2:H10 C21:F21 C14:C20 G5:G22 E14:F20 B47:B65513 B10:B16 H13:H39 G31:G65513 H46:H65513 C43:D65513 I1:IR1048576 H44 H41 F23:F44 E45:F65513"/>
    <dataValidation type="custom" allowBlank="1" showErrorMessage="1" errorTitle="No HFU funded places" error="You cannot enter HFU funded student FTE where no HFU funded places exist " sqref="D42 D14:D20">
      <formula1>AND($C14&gt;0,$D14&gt;=0)</formula1>
    </dataValidation>
  </dataValidations>
  <printOptions horizontalCentered="1"/>
  <pageMargins left="0.19685039370078741" right="0.19685039370078741" top="0.19685039370078741" bottom="0.19685039370078741" header="0" footer="0"/>
  <pageSetup paperSize="9" scale="58" fitToHeight="2" orientation="portrait" r:id="rId1"/>
  <headerFooter alignWithMargins="0"/>
  <rowBreaks count="1" manualBreakCount="1">
    <brk id="20" min="1"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zoomScale="80" zoomScaleNormal="80" workbookViewId="0"/>
  </sheetViews>
  <sheetFormatPr defaultColWidth="10.7109375" defaultRowHeight="18.95" customHeight="1"/>
  <cols>
    <col min="1" max="1" width="2.7109375" style="1405" customWidth="1"/>
    <col min="2" max="2" width="50.7109375" style="1405" customWidth="1"/>
    <col min="3" max="7" width="12.7109375" style="1438" customWidth="1"/>
    <col min="8" max="9" width="12.7109375" style="1405" customWidth="1"/>
    <col min="10" max="10" width="6.7109375" style="1405" customWidth="1"/>
    <col min="11" max="16384" width="10.7109375" style="1405"/>
  </cols>
  <sheetData>
    <row r="1" spans="1:10" ht="30" customHeight="1">
      <c r="A1" s="1020"/>
      <c r="B1" s="865" t="s">
        <v>376</v>
      </c>
      <c r="C1" s="1225"/>
      <c r="D1" s="1225"/>
      <c r="E1" s="1225"/>
      <c r="F1" s="1225"/>
      <c r="G1" s="1225"/>
      <c r="H1" s="1226"/>
      <c r="I1" s="1226"/>
      <c r="J1" s="1227"/>
    </row>
    <row r="2" spans="1:10" ht="9.9499999999999993" customHeight="1" thickBot="1">
      <c r="A2" s="1081"/>
      <c r="B2" s="869"/>
      <c r="C2" s="1228"/>
      <c r="D2" s="1228"/>
      <c r="E2" s="1228"/>
      <c r="F2" s="1228"/>
      <c r="G2" s="1228"/>
      <c r="H2" s="535"/>
      <c r="I2" s="535"/>
      <c r="J2" s="1213"/>
    </row>
    <row r="3" spans="1:10" ht="35.1" customHeight="1" thickBot="1">
      <c r="A3" s="1081"/>
      <c r="B3" s="1070" t="s">
        <v>0</v>
      </c>
      <c r="C3" s="1805" t="str">
        <f>Background!D2</f>
        <v>Glasgow, University of</v>
      </c>
      <c r="D3" s="1806"/>
      <c r="E3" s="1807"/>
      <c r="F3" s="659"/>
      <c r="G3" s="1228"/>
      <c r="H3" s="535"/>
      <c r="I3" s="535"/>
      <c r="J3" s="1213"/>
    </row>
    <row r="4" spans="1:10" ht="35.1" customHeight="1">
      <c r="A4" s="1081"/>
      <c r="B4" s="588" t="s">
        <v>358</v>
      </c>
      <c r="C4" s="586"/>
      <c r="D4" s="586"/>
      <c r="E4" s="586"/>
      <c r="F4" s="586"/>
      <c r="G4" s="586"/>
      <c r="H4" s="587"/>
      <c r="I4" s="587"/>
      <c r="J4" s="1229"/>
    </row>
    <row r="5" spans="1:10" s="1439" customFormat="1" ht="30" customHeight="1">
      <c r="A5" s="1230"/>
      <c r="B5" s="55" t="s">
        <v>343</v>
      </c>
      <c r="C5" s="586"/>
      <c r="D5" s="586"/>
      <c r="E5" s="586"/>
      <c r="F5" s="586"/>
      <c r="G5" s="586"/>
      <c r="H5" s="587"/>
      <c r="I5" s="587"/>
      <c r="J5" s="1229"/>
    </row>
    <row r="6" spans="1:10" s="1419" customFormat="1" ht="30" customHeight="1">
      <c r="A6" s="1082"/>
      <c r="B6" s="588" t="s">
        <v>377</v>
      </c>
      <c r="C6" s="589"/>
      <c r="D6" s="589"/>
      <c r="E6" s="589"/>
      <c r="F6" s="589"/>
      <c r="G6" s="589"/>
      <c r="H6" s="589"/>
      <c r="I6" s="589"/>
      <c r="J6" s="1229"/>
    </row>
    <row r="7" spans="1:10" s="1419" customFormat="1" ht="30" customHeight="1">
      <c r="A7" s="1082"/>
      <c r="B7" s="588" t="s">
        <v>332</v>
      </c>
      <c r="C7" s="589"/>
      <c r="D7" s="589"/>
      <c r="E7" s="589"/>
      <c r="F7" s="589"/>
      <c r="G7" s="589"/>
      <c r="H7" s="589"/>
      <c r="I7" s="589"/>
      <c r="J7" s="1229"/>
    </row>
    <row r="8" spans="1:10" s="1419" customFormat="1" ht="15" customHeight="1" thickBot="1">
      <c r="A8" s="1082"/>
      <c r="B8" s="590"/>
      <c r="C8" s="590"/>
      <c r="D8" s="590"/>
      <c r="E8" s="590"/>
      <c r="F8" s="590"/>
      <c r="G8" s="590"/>
      <c r="H8" s="590"/>
      <c r="I8" s="590"/>
      <c r="J8" s="1229"/>
    </row>
    <row r="9" spans="1:10" ht="120" customHeight="1">
      <c r="A9" s="1081"/>
      <c r="B9" s="1810" t="s">
        <v>140</v>
      </c>
      <c r="C9" s="591" t="s">
        <v>195</v>
      </c>
      <c r="D9" s="591" t="s">
        <v>101</v>
      </c>
      <c r="E9" s="591" t="s">
        <v>67</v>
      </c>
      <c r="F9" s="591" t="s">
        <v>378</v>
      </c>
      <c r="G9" s="1808" t="s">
        <v>102</v>
      </c>
      <c r="H9" s="1812"/>
      <c r="I9" s="592" t="s">
        <v>139</v>
      </c>
      <c r="J9" s="1229"/>
    </row>
    <row r="10" spans="1:10" ht="30" customHeight="1">
      <c r="A10" s="1081"/>
      <c r="B10" s="1811"/>
      <c r="C10" s="593" t="s">
        <v>18</v>
      </c>
      <c r="D10" s="593" t="s">
        <v>18</v>
      </c>
      <c r="E10" s="593" t="s">
        <v>18</v>
      </c>
      <c r="F10" s="593" t="s">
        <v>18</v>
      </c>
      <c r="G10" s="593" t="s">
        <v>18</v>
      </c>
      <c r="H10" s="298" t="s">
        <v>103</v>
      </c>
      <c r="I10" s="289"/>
      <c r="J10" s="1229"/>
    </row>
    <row r="11" spans="1:10" ht="30" customHeight="1">
      <c r="A11" s="1081"/>
      <c r="B11" s="1811"/>
      <c r="C11" s="594" t="s">
        <v>57</v>
      </c>
      <c r="D11" s="1181" t="s">
        <v>57</v>
      </c>
      <c r="E11" s="1181" t="s">
        <v>57</v>
      </c>
      <c r="F11" s="1181" t="s">
        <v>57</v>
      </c>
      <c r="G11" s="1181" t="s">
        <v>56</v>
      </c>
      <c r="H11" s="1181" t="s">
        <v>56</v>
      </c>
      <c r="I11" s="596" t="s">
        <v>56</v>
      </c>
      <c r="J11" s="1229"/>
    </row>
    <row r="12" spans="1:10" ht="30" customHeight="1">
      <c r="A12" s="1081"/>
      <c r="B12" s="597"/>
      <c r="C12" s="1594">
        <v>1</v>
      </c>
      <c r="D12" s="1594">
        <v>2</v>
      </c>
      <c r="E12" s="1594">
        <v>3</v>
      </c>
      <c r="F12" s="1594">
        <v>4</v>
      </c>
      <c r="G12" s="1594">
        <v>5</v>
      </c>
      <c r="H12" s="1594">
        <v>6</v>
      </c>
      <c r="I12" s="1595">
        <v>7</v>
      </c>
      <c r="J12" s="1229"/>
    </row>
    <row r="13" spans="1:10" ht="35.1" customHeight="1">
      <c r="A13" s="1081"/>
      <c r="B13" s="598" t="s">
        <v>95</v>
      </c>
      <c r="C13" s="599"/>
      <c r="D13" s="1231"/>
      <c r="E13" s="600"/>
      <c r="F13" s="600"/>
      <c r="G13" s="599"/>
      <c r="H13" s="600"/>
      <c r="I13" s="601"/>
      <c r="J13" s="1229"/>
    </row>
    <row r="14" spans="1:10" ht="24.95" customHeight="1">
      <c r="A14" s="1081"/>
      <c r="B14" s="602" t="s">
        <v>33</v>
      </c>
      <c r="C14" s="652">
        <f>VLOOKUP(Background!$C$2,Inst_FPs,29,FALSE)</f>
        <v>537.4</v>
      </c>
      <c r="D14" s="653">
        <f>VLOOKUP(Background!$C$2,Inst_FPs,41,FALSE)</f>
        <v>81</v>
      </c>
      <c r="E14" s="652">
        <f>SUM(C14:D14)</f>
        <v>618.4</v>
      </c>
      <c r="F14" s="652">
        <f>'Table 1 (Main)'!$O29</f>
        <v>628</v>
      </c>
      <c r="G14" s="654">
        <f>F14-E14</f>
        <v>9.6000000000000227</v>
      </c>
      <c r="H14" s="603">
        <f>IF(E14&gt;0,G14/E14,"")</f>
        <v>1.5523932729624875E-2</v>
      </c>
      <c r="I14" s="604" t="str">
        <f>IF(H14&lt;-Controlled_Tol,"YES","NO")</f>
        <v>NO</v>
      </c>
      <c r="J14" s="1229"/>
    </row>
    <row r="15" spans="1:10" ht="24.95" customHeight="1">
      <c r="A15" s="1081"/>
      <c r="B15" s="602" t="s">
        <v>34</v>
      </c>
      <c r="C15" s="652">
        <f>VLOOKUP(Background!$C$2,Inst_FPs,30,FALSE)</f>
        <v>261.60000000000002</v>
      </c>
      <c r="D15" s="653">
        <f>VLOOKUP(Background!$C$2,Inst_FPs,42,FALSE)</f>
        <v>8.5999999999999659</v>
      </c>
      <c r="E15" s="652">
        <f>SUM(C15:D15)</f>
        <v>270.2</v>
      </c>
      <c r="F15" s="652">
        <f>'Table 1 (Main)'!$O30</f>
        <v>280</v>
      </c>
      <c r="G15" s="654">
        <f>F15-E15</f>
        <v>9.8000000000000114</v>
      </c>
      <c r="H15" s="603">
        <f>IF(E15&gt;0,G15/E15,"")</f>
        <v>3.6269430051813517E-2</v>
      </c>
      <c r="I15" s="604" t="str">
        <f>IF(H15&lt;-Controlled_Tol,"YES","NO")</f>
        <v>NO</v>
      </c>
      <c r="J15" s="1229"/>
    </row>
    <row r="16" spans="1:10" ht="24.95" customHeight="1">
      <c r="A16" s="1081"/>
      <c r="B16" s="602" t="s">
        <v>5</v>
      </c>
      <c r="C16" s="652">
        <f>VLOOKUP(Background!$C$2,Inst_FPs,31,FALSE)</f>
        <v>288</v>
      </c>
      <c r="D16" s="653">
        <v>0</v>
      </c>
      <c r="E16" s="652">
        <f>SUM(C16:D16)</f>
        <v>288</v>
      </c>
      <c r="F16" s="652">
        <f>'Table 1 (Main)'!$O31</f>
        <v>311</v>
      </c>
      <c r="G16" s="654">
        <f>F16-E16</f>
        <v>23</v>
      </c>
      <c r="H16" s="603">
        <f>IF(E16&gt;0,G16/E16,"")</f>
        <v>7.9861111111111105E-2</v>
      </c>
      <c r="I16" s="604" t="str">
        <f>IF(H16&lt;-Controlled_Tol,"YES","NO")</f>
        <v>NO</v>
      </c>
      <c r="J16" s="1229"/>
    </row>
    <row r="17" spans="1:10" ht="24.95" customHeight="1">
      <c r="A17" s="1081"/>
      <c r="B17" s="605" t="s">
        <v>6</v>
      </c>
      <c r="C17" s="652">
        <f>VLOOKUP(Background!$C$2,Inst_FPs,32,FALSE)</f>
        <v>53.1</v>
      </c>
      <c r="D17" s="653">
        <v>0</v>
      </c>
      <c r="E17" s="655">
        <f>SUM(C17:D17)</f>
        <v>53.1</v>
      </c>
      <c r="F17" s="652">
        <f>'Table 1 (Main)'!$O32</f>
        <v>53</v>
      </c>
      <c r="G17" s="656">
        <f>F17-E17</f>
        <v>-0.10000000000000142</v>
      </c>
      <c r="H17" s="603">
        <f>IF(E17&gt;0,G17/E17,"")</f>
        <v>-1.8832391713747914E-3</v>
      </c>
      <c r="I17" s="604" t="str">
        <f>IF(H17&lt;-Controlled_Tol,"YES","NO")</f>
        <v>NO</v>
      </c>
      <c r="J17" s="1229"/>
    </row>
    <row r="18" spans="1:10" ht="35.1" customHeight="1">
      <c r="A18" s="1081"/>
      <c r="B18" s="606" t="s">
        <v>7</v>
      </c>
      <c r="C18" s="607"/>
      <c r="D18" s="608"/>
      <c r="E18" s="609"/>
      <c r="F18" s="609"/>
      <c r="G18" s="610"/>
      <c r="H18" s="611"/>
      <c r="I18" s="601"/>
      <c r="J18" s="1229"/>
    </row>
    <row r="19" spans="1:10" ht="24.95" customHeight="1">
      <c r="A19" s="1081"/>
      <c r="B19" s="602" t="s">
        <v>99</v>
      </c>
      <c r="C19" s="652">
        <f>VLOOKUP(Background!$C$2,Inst_FPs,33,FALSE)</f>
        <v>481.1</v>
      </c>
      <c r="D19" s="653">
        <f>VLOOKUP(Background!$C$2,Inst_FPs,43,FALSE)</f>
        <v>0</v>
      </c>
      <c r="E19" s="652">
        <f t="shared" ref="E19:E24" si="0">SUM(C19:D19)</f>
        <v>481.1</v>
      </c>
      <c r="F19" s="652">
        <f>'Table 1 (Main)'!$O34</f>
        <v>563.88</v>
      </c>
      <c r="G19" s="654">
        <f t="shared" ref="G19:G24" si="1">F19-E19</f>
        <v>82.779999999999973</v>
      </c>
      <c r="H19" s="603">
        <f t="shared" ref="H19:H24" si="2">IF(E19&gt;0,G19/E19,"")</f>
        <v>0.1720640199542714</v>
      </c>
      <c r="I19" s="604" t="str">
        <f t="shared" ref="I19:I24" si="3">IF(H19&lt;-Controlled_Tol,"YES","NO")</f>
        <v>NO</v>
      </c>
      <c r="J19" s="1229"/>
    </row>
    <row r="20" spans="1:10" ht="24.95" customHeight="1">
      <c r="A20" s="1081"/>
      <c r="B20" s="602" t="s">
        <v>21</v>
      </c>
      <c r="C20" s="652">
        <f>VLOOKUP(Background!$C$2,Inst_FPs,34,FALSE)</f>
        <v>0</v>
      </c>
      <c r="D20" s="653">
        <v>0</v>
      </c>
      <c r="E20" s="652">
        <f t="shared" si="0"/>
        <v>0</v>
      </c>
      <c r="F20" s="652">
        <f>'Table 1 (Main)'!$O35</f>
        <v>0</v>
      </c>
      <c r="G20" s="654">
        <f t="shared" si="1"/>
        <v>0</v>
      </c>
      <c r="H20" s="603" t="str">
        <f t="shared" si="2"/>
        <v/>
      </c>
      <c r="I20" s="604" t="str">
        <f t="shared" si="3"/>
        <v>NO</v>
      </c>
      <c r="J20" s="1229"/>
    </row>
    <row r="21" spans="1:10" ht="24.95" customHeight="1">
      <c r="A21" s="1081"/>
      <c r="B21" s="602" t="s">
        <v>8</v>
      </c>
      <c r="C21" s="652">
        <f>VLOOKUP(Background!$C$2,Inst_FPs,35,FALSE)</f>
        <v>0</v>
      </c>
      <c r="D21" s="653">
        <v>0</v>
      </c>
      <c r="E21" s="652">
        <f t="shared" si="0"/>
        <v>0</v>
      </c>
      <c r="F21" s="652">
        <f>'Table 1 (Main)'!$O36</f>
        <v>0</v>
      </c>
      <c r="G21" s="654">
        <f t="shared" si="1"/>
        <v>0</v>
      </c>
      <c r="H21" s="603" t="str">
        <f t="shared" si="2"/>
        <v/>
      </c>
      <c r="I21" s="604" t="str">
        <f t="shared" si="3"/>
        <v>NO</v>
      </c>
      <c r="J21" s="1229"/>
    </row>
    <row r="22" spans="1:10" ht="24.95" customHeight="1">
      <c r="A22" s="1081"/>
      <c r="B22" s="602" t="s">
        <v>23</v>
      </c>
      <c r="C22" s="652">
        <f>VLOOKUP(Background!$C$2,Inst_FPs,36,FALSE)</f>
        <v>94.6</v>
      </c>
      <c r="D22" s="653">
        <v>0</v>
      </c>
      <c r="E22" s="652">
        <f t="shared" si="0"/>
        <v>94.6</v>
      </c>
      <c r="F22" s="652">
        <f>'Table 1 (Main)'!$O37</f>
        <v>91.6</v>
      </c>
      <c r="G22" s="654">
        <f t="shared" si="1"/>
        <v>-3</v>
      </c>
      <c r="H22" s="603">
        <f t="shared" si="2"/>
        <v>-3.1712473572938694E-2</v>
      </c>
      <c r="I22" s="604" t="str">
        <f t="shared" si="3"/>
        <v>YES</v>
      </c>
      <c r="J22" s="1229"/>
    </row>
    <row r="23" spans="1:10" ht="24.95" customHeight="1">
      <c r="A23" s="1081"/>
      <c r="B23" s="602" t="s">
        <v>117</v>
      </c>
      <c r="C23" s="652">
        <f>VLOOKUP(Background!$C$2,Inst_FPs,37,FALSE)</f>
        <v>69.099999999999994</v>
      </c>
      <c r="D23" s="653">
        <f>VLOOKUP(Background!$C$2,Inst_FPs,44,FALSE)</f>
        <v>104</v>
      </c>
      <c r="E23" s="652">
        <f t="shared" si="0"/>
        <v>173.1</v>
      </c>
      <c r="F23" s="652">
        <f>'Table 1 (Main)'!$O22</f>
        <v>188</v>
      </c>
      <c r="G23" s="654">
        <f t="shared" si="1"/>
        <v>14.900000000000006</v>
      </c>
      <c r="H23" s="603">
        <f t="shared" si="2"/>
        <v>8.6077411900635503E-2</v>
      </c>
      <c r="I23" s="604" t="str">
        <f t="shared" si="3"/>
        <v>NO</v>
      </c>
      <c r="J23" s="1229"/>
    </row>
    <row r="24" spans="1:10" ht="24.95" customHeight="1">
      <c r="A24" s="1081"/>
      <c r="B24" s="605" t="s">
        <v>118</v>
      </c>
      <c r="C24" s="652">
        <f>VLOOKUP(Background!$C$2,Inst_FPs,38,FALSE)</f>
        <v>120.8</v>
      </c>
      <c r="D24" s="653">
        <f>VLOOKUP(Background!$C$2,Inst_FPs,45,FALSE)</f>
        <v>63</v>
      </c>
      <c r="E24" s="655">
        <f t="shared" si="0"/>
        <v>183.8</v>
      </c>
      <c r="F24" s="652">
        <f>'Table 1 (Main)'!$O23</f>
        <v>162</v>
      </c>
      <c r="G24" s="656">
        <f t="shared" si="1"/>
        <v>-21.800000000000011</v>
      </c>
      <c r="H24" s="603">
        <f t="shared" si="2"/>
        <v>-0.11860718171926012</v>
      </c>
      <c r="I24" s="604" t="str">
        <f t="shared" si="3"/>
        <v>YES</v>
      </c>
      <c r="J24" s="1229"/>
    </row>
    <row r="25" spans="1:10" ht="35.1" customHeight="1">
      <c r="A25" s="1081"/>
      <c r="B25" s="606" t="s">
        <v>90</v>
      </c>
      <c r="C25" s="609"/>
      <c r="D25" s="1232"/>
      <c r="E25" s="609"/>
      <c r="F25" s="609"/>
      <c r="G25" s="651"/>
      <c r="H25" s="611"/>
      <c r="I25" s="601"/>
      <c r="J25" s="1229"/>
    </row>
    <row r="26" spans="1:10" ht="24.95" customHeight="1">
      <c r="A26" s="1081"/>
      <c r="B26" s="602" t="s">
        <v>336</v>
      </c>
      <c r="C26" s="628">
        <v>0</v>
      </c>
      <c r="D26" s="628">
        <f>VLOOKUP(Background!$C$2,Inst_FPs,46,FALSE)</f>
        <v>0</v>
      </c>
      <c r="E26" s="628">
        <f>SUM(C26:D26)</f>
        <v>0</v>
      </c>
      <c r="F26" s="628">
        <f>'Table 1 (Main)'!$O16+'Table 1 (Main)'!$O39</f>
        <v>0</v>
      </c>
      <c r="G26" s="658">
        <f>F26-E26</f>
        <v>0</v>
      </c>
      <c r="H26" s="649" t="str">
        <f>IF(E26&gt;0,G26/E26,"")</f>
        <v/>
      </c>
      <c r="I26" s="650" t="str">
        <f>IF(H26&lt;-Controlled_Tol,"YES","NO")</f>
        <v>NO</v>
      </c>
      <c r="J26" s="1229"/>
    </row>
    <row r="27" spans="1:10" ht="24.95" customHeight="1" thickBot="1">
      <c r="A27" s="1081"/>
      <c r="B27" s="657" t="s">
        <v>337</v>
      </c>
      <c r="C27" s="1593">
        <f>VLOOKUP(Background!$C$2,Inst_FPs,39,FALSE)</f>
        <v>76</v>
      </c>
      <c r="D27" s="660">
        <v>0</v>
      </c>
      <c r="E27" s="660">
        <f t="shared" ref="E27" si="4">SUM(C27:D27)</f>
        <v>76</v>
      </c>
      <c r="F27" s="661">
        <f>'Table 1 (Main)'!$O40</f>
        <v>87</v>
      </c>
      <c r="G27" s="662">
        <f>F27-E27</f>
        <v>11</v>
      </c>
      <c r="H27" s="612">
        <f>IF(E27&gt;0,G27/E27,"")</f>
        <v>0.14473684210526316</v>
      </c>
      <c r="I27" s="613" t="str">
        <f>IF(H27&lt;-Controlled_Tol,"YES","NO")</f>
        <v>NO</v>
      </c>
      <c r="J27" s="1233"/>
    </row>
    <row r="28" spans="1:10" ht="24" customHeight="1">
      <c r="A28" s="1081"/>
      <c r="B28" s="1239"/>
      <c r="C28" s="535"/>
      <c r="D28" s="614"/>
      <c r="E28" s="614"/>
      <c r="F28" s="614"/>
      <c r="G28" s="614"/>
      <c r="H28" s="535"/>
      <c r="I28" s="587"/>
      <c r="J28" s="1229"/>
    </row>
    <row r="29" spans="1:10" ht="24.95" customHeight="1">
      <c r="A29" s="1081"/>
      <c r="B29" s="588" t="s">
        <v>379</v>
      </c>
      <c r="C29" s="589"/>
      <c r="D29" s="589"/>
      <c r="E29" s="589"/>
      <c r="F29" s="589"/>
      <c r="G29" s="589"/>
      <c r="H29" s="589"/>
      <c r="I29" s="587"/>
      <c r="J29" s="1229"/>
    </row>
    <row r="30" spans="1:10" ht="24.95" customHeight="1">
      <c r="A30" s="1081"/>
      <c r="B30" s="588" t="s">
        <v>332</v>
      </c>
      <c r="C30" s="589"/>
      <c r="D30" s="589"/>
      <c r="E30" s="589"/>
      <c r="F30" s="589"/>
      <c r="G30" s="589"/>
      <c r="H30" s="589"/>
      <c r="I30" s="587"/>
      <c r="J30" s="1229"/>
    </row>
    <row r="31" spans="1:10" ht="9.9499999999999993" customHeight="1" thickBot="1">
      <c r="A31" s="1081"/>
      <c r="B31" s="590"/>
      <c r="C31" s="590"/>
      <c r="D31" s="590"/>
      <c r="E31" s="590"/>
      <c r="F31" s="590"/>
      <c r="G31" s="590"/>
      <c r="H31" s="589"/>
      <c r="I31" s="587"/>
      <c r="J31" s="1229"/>
    </row>
    <row r="32" spans="1:10" ht="45" customHeight="1">
      <c r="A32" s="1081"/>
      <c r="B32" s="1222"/>
      <c r="C32" s="1816" t="s">
        <v>329</v>
      </c>
      <c r="D32" s="1817"/>
      <c r="E32" s="1816" t="s">
        <v>330</v>
      </c>
      <c r="F32" s="1818"/>
      <c r="G32" s="1818"/>
      <c r="H32" s="1818"/>
      <c r="I32" s="1819"/>
      <c r="J32" s="1229"/>
    </row>
    <row r="33" spans="1:10" ht="120" customHeight="1">
      <c r="A33" s="1081"/>
      <c r="B33" s="1813" t="s">
        <v>141</v>
      </c>
      <c r="C33" s="900" t="s">
        <v>67</v>
      </c>
      <c r="D33" s="900" t="s">
        <v>380</v>
      </c>
      <c r="E33" s="1223" t="s">
        <v>331</v>
      </c>
      <c r="F33" s="1223" t="s">
        <v>381</v>
      </c>
      <c r="G33" s="1814" t="s">
        <v>102</v>
      </c>
      <c r="H33" s="1815"/>
      <c r="I33" s="901" t="s">
        <v>139</v>
      </c>
      <c r="J33" s="1229"/>
    </row>
    <row r="34" spans="1:10" ht="30" customHeight="1">
      <c r="A34" s="1081"/>
      <c r="B34" s="1811"/>
      <c r="C34" s="593" t="s">
        <v>18</v>
      </c>
      <c r="D34" s="593" t="s">
        <v>18</v>
      </c>
      <c r="E34" s="593" t="s">
        <v>18</v>
      </c>
      <c r="F34" s="593" t="s">
        <v>18</v>
      </c>
      <c r="G34" s="593" t="s">
        <v>18</v>
      </c>
      <c r="H34" s="298" t="s">
        <v>103</v>
      </c>
      <c r="I34" s="289"/>
      <c r="J34" s="1229"/>
    </row>
    <row r="35" spans="1:10" ht="30" customHeight="1">
      <c r="A35" s="1081"/>
      <c r="B35" s="616"/>
      <c r="C35" s="594" t="s">
        <v>57</v>
      </c>
      <c r="D35" s="1181" t="s">
        <v>57</v>
      </c>
      <c r="E35" s="1181" t="s">
        <v>56</v>
      </c>
      <c r="F35" s="1181" t="s">
        <v>56</v>
      </c>
      <c r="G35" s="1181" t="s">
        <v>56</v>
      </c>
      <c r="H35" s="1181" t="s">
        <v>56</v>
      </c>
      <c r="I35" s="596" t="s">
        <v>56</v>
      </c>
      <c r="J35" s="1229"/>
    </row>
    <row r="36" spans="1:10" ht="30" customHeight="1">
      <c r="A36" s="1081"/>
      <c r="B36" s="616"/>
      <c r="C36" s="1594">
        <v>1</v>
      </c>
      <c r="D36" s="1594">
        <v>2</v>
      </c>
      <c r="E36" s="1594">
        <v>3</v>
      </c>
      <c r="F36" s="1594">
        <v>4</v>
      </c>
      <c r="G36" s="1594">
        <v>5</v>
      </c>
      <c r="H36" s="1594">
        <v>6</v>
      </c>
      <c r="I36" s="1595">
        <v>7</v>
      </c>
      <c r="J36" s="1229"/>
    </row>
    <row r="37" spans="1:10" ht="50.1" customHeight="1" thickBot="1">
      <c r="A37" s="1081"/>
      <c r="B37" s="617" t="s">
        <v>142</v>
      </c>
      <c r="C37" s="660">
        <f>VLOOKUP(Background!$C$2,Inst_FPs,28,FALSE)</f>
        <v>12121.199999999999</v>
      </c>
      <c r="D37" s="660">
        <f>SUM('Table 1 (Main)'!$O$17,'Table 1 (Main)'!$O$24,'Table 1 (Main)'!$O$42,'Table 1 (Main)'!$O$43)</f>
        <v>12714.25</v>
      </c>
      <c r="E37" s="1224">
        <f>C37-SUM('Table 5a (Widen Access FPs)'!D10,'Table 5b (Artic FPs)'!C24,'Table 5c (UG Skills FPs)'!C29,'Table 5d (TPG FPs)'!C34,'Table 5e (Other Add FPs)'!C14,'Table 5e (Other Add FPs)'!C15,'Table 5e (Other Add FPs)'!C16,'Table 5e (Other Add FPs)'!F43)</f>
        <v>11719.4</v>
      </c>
      <c r="F37" s="1224">
        <f>D37-SUM('Table 5a (Widen Access FPs)'!F12,'Table 5b (Artic FPs)'!E25,'Table 5c (UG Skills FPs)'!E30,'Table 5d (TPG FPs)'!E35,'Table 5e (Other Add FPs)'!H14,'Table 5e (Other Add FPs)'!H15,'Table 5e (Other Add FPs)'!H16,'Table 5e (Other Add FPs)'!H44)</f>
        <v>12313.46</v>
      </c>
      <c r="G37" s="661">
        <f>F37-E37</f>
        <v>594.05999999999949</v>
      </c>
      <c r="H37" s="618">
        <f>IF(E37&gt;0,G37/E37,"")</f>
        <v>5.069030837756195E-2</v>
      </c>
      <c r="I37" s="613" t="str">
        <f>IF(H37&lt;-Non_controlled_Tol,"YES","NO")</f>
        <v>NO</v>
      </c>
      <c r="J37" s="1229"/>
    </row>
    <row r="38" spans="1:10" ht="15">
      <c r="A38" s="1081"/>
      <c r="B38" s="614"/>
      <c r="C38" s="614"/>
      <c r="D38" s="614"/>
      <c r="E38" s="614"/>
      <c r="F38" s="614"/>
      <c r="G38" s="614"/>
      <c r="H38" s="614"/>
      <c r="I38" s="587"/>
      <c r="J38" s="1229"/>
    </row>
    <row r="39" spans="1:10" ht="24.95" customHeight="1">
      <c r="A39" s="1081"/>
      <c r="B39" s="588" t="s">
        <v>382</v>
      </c>
      <c r="C39" s="614"/>
      <c r="D39" s="614"/>
      <c r="E39" s="614"/>
      <c r="F39" s="614"/>
      <c r="G39" s="614"/>
      <c r="H39" s="614"/>
      <c r="I39" s="587"/>
      <c r="J39" s="1229"/>
    </row>
    <row r="40" spans="1:10" ht="24.95" customHeight="1">
      <c r="A40" s="1081"/>
      <c r="B40" s="588" t="s">
        <v>333</v>
      </c>
      <c r="C40" s="589"/>
      <c r="D40" s="589"/>
      <c r="E40" s="589"/>
      <c r="F40" s="192"/>
      <c r="G40" s="192"/>
      <c r="H40" s="192"/>
      <c r="I40" s="587"/>
      <c r="J40" s="1229"/>
    </row>
    <row r="41" spans="1:10" ht="24.95" customHeight="1">
      <c r="A41" s="1081"/>
      <c r="B41" s="588" t="s">
        <v>442</v>
      </c>
      <c r="C41" s="589"/>
      <c r="D41" s="589"/>
      <c r="E41" s="589"/>
      <c r="F41" s="192"/>
      <c r="G41" s="192"/>
      <c r="H41" s="192"/>
      <c r="I41" s="587"/>
      <c r="J41" s="1229"/>
    </row>
    <row r="42" spans="1:10" ht="9.9499999999999993" customHeight="1" thickBot="1">
      <c r="A42" s="1081"/>
      <c r="B42" s="590"/>
      <c r="C42" s="590"/>
      <c r="D42" s="590"/>
      <c r="E42" s="590"/>
      <c r="F42" s="619"/>
      <c r="G42" s="619"/>
      <c r="H42" s="192"/>
      <c r="I42" s="587"/>
      <c r="J42" s="1229"/>
    </row>
    <row r="43" spans="1:10" ht="99.95" customHeight="1">
      <c r="A43" s="1081"/>
      <c r="B43" s="620" t="s">
        <v>143</v>
      </c>
      <c r="C43" s="621" t="s">
        <v>383</v>
      </c>
      <c r="D43" s="591" t="s">
        <v>335</v>
      </c>
      <c r="E43" s="1808" t="s">
        <v>334</v>
      </c>
      <c r="F43" s="1809"/>
      <c r="G43" s="592" t="s">
        <v>145</v>
      </c>
      <c r="H43" s="615"/>
      <c r="I43" s="587"/>
      <c r="J43" s="1229"/>
    </row>
    <row r="44" spans="1:10" ht="30" customHeight="1">
      <c r="A44" s="1081"/>
      <c r="B44" s="622"/>
      <c r="C44" s="1234" t="s">
        <v>18</v>
      </c>
      <c r="D44" s="593" t="s">
        <v>18</v>
      </c>
      <c r="E44" s="593" t="s">
        <v>18</v>
      </c>
      <c r="F44" s="593" t="s">
        <v>103</v>
      </c>
      <c r="G44" s="289"/>
      <c r="H44" s="535"/>
      <c r="I44" s="587"/>
      <c r="J44" s="1229"/>
    </row>
    <row r="45" spans="1:10" ht="30" customHeight="1">
      <c r="A45" s="1081"/>
      <c r="B45" s="622"/>
      <c r="C45" s="1235" t="s">
        <v>57</v>
      </c>
      <c r="D45" s="594" t="s">
        <v>57</v>
      </c>
      <c r="E45" s="594" t="s">
        <v>56</v>
      </c>
      <c r="F45" s="594" t="s">
        <v>56</v>
      </c>
      <c r="G45" s="596" t="s">
        <v>56</v>
      </c>
      <c r="H45" s="535"/>
      <c r="I45" s="587"/>
      <c r="J45" s="1229"/>
    </row>
    <row r="46" spans="1:10" ht="30" customHeight="1">
      <c r="A46" s="1081"/>
      <c r="B46" s="623"/>
      <c r="C46" s="1594">
        <v>1</v>
      </c>
      <c r="D46" s="1594">
        <v>2</v>
      </c>
      <c r="E46" s="1594">
        <v>3</v>
      </c>
      <c r="F46" s="1594">
        <v>4</v>
      </c>
      <c r="G46" s="1595">
        <v>5</v>
      </c>
      <c r="H46" s="535"/>
      <c r="I46" s="587"/>
      <c r="J46" s="1229"/>
    </row>
    <row r="47" spans="1:10" ht="35.1" customHeight="1">
      <c r="A47" s="1081"/>
      <c r="B47" s="624" t="s">
        <v>89</v>
      </c>
      <c r="C47" s="663"/>
      <c r="D47" s="625"/>
      <c r="E47" s="625"/>
      <c r="F47" s="626"/>
      <c r="G47" s="596"/>
      <c r="H47" s="535"/>
      <c r="I47" s="587"/>
      <c r="J47" s="1229"/>
    </row>
    <row r="48" spans="1:10" ht="35.1" customHeight="1">
      <c r="A48" s="1081"/>
      <c r="B48" s="627" t="s">
        <v>171</v>
      </c>
      <c r="C48" s="664"/>
      <c r="D48" s="665"/>
      <c r="E48" s="665"/>
      <c r="F48" s="666"/>
      <c r="G48" s="667"/>
      <c r="H48" s="535"/>
      <c r="I48" s="587"/>
      <c r="J48" s="1229"/>
    </row>
    <row r="49" spans="1:10" ht="30" customHeight="1">
      <c r="A49" s="1081"/>
      <c r="B49" s="629" t="s">
        <v>170</v>
      </c>
      <c r="C49" s="668">
        <f>VLOOKUP(Background!$C$2,Inst_FPs,48,FALSE)</f>
        <v>1147</v>
      </c>
      <c r="D49" s="668">
        <f>SUM('Table 1 (Main)'!$U$29,'Table 1 (Main)'!$U$31)</f>
        <v>1155</v>
      </c>
      <c r="E49" s="668">
        <f>D49-C49</f>
        <v>8</v>
      </c>
      <c r="F49" s="630">
        <f>IF(C49&gt;0,E49/C49,"")</f>
        <v>6.9747166521360072E-3</v>
      </c>
      <c r="G49" s="631" t="str">
        <f>IF(C49&gt;=100,IF(F49&gt;Consol_Tol_Per,"Yes","No"),IF(C49&gt;0,IF(E49&gt;Consol_Tol_FTE,"Yes","No"),"No"))</f>
        <v>No</v>
      </c>
      <c r="H49" s="535"/>
      <c r="I49" s="587"/>
      <c r="J49" s="1229"/>
    </row>
    <row r="50" spans="1:10" ht="35.1" customHeight="1">
      <c r="A50" s="1081"/>
      <c r="B50" s="627" t="s">
        <v>231</v>
      </c>
      <c r="C50" s="632"/>
      <c r="D50" s="633"/>
      <c r="E50" s="633"/>
      <c r="F50" s="633"/>
      <c r="G50" s="634"/>
      <c r="H50" s="535"/>
      <c r="I50" s="587"/>
      <c r="J50" s="1229"/>
    </row>
    <row r="51" spans="1:10" ht="30" customHeight="1">
      <c r="A51" s="1081"/>
      <c r="B51" s="629" t="s">
        <v>170</v>
      </c>
      <c r="C51" s="668">
        <f>VLOOKUP(Background!$C$2,Inst_FPs,49,FALSE)</f>
        <v>372</v>
      </c>
      <c r="D51" s="668">
        <f>SUM('Table 1 (Main)'!$U$30,'Table 1 (Main)'!$U$32)</f>
        <v>387</v>
      </c>
      <c r="E51" s="668">
        <f>D51-C51</f>
        <v>15</v>
      </c>
      <c r="F51" s="630">
        <f>IF(C51&gt;0,E51/C51,"")</f>
        <v>4.0322580645161289E-2</v>
      </c>
      <c r="G51" s="631" t="str">
        <f>IF(C51&gt;=100,IF(F51&gt;Consol_Tol_Per,"Yes","No"),IF(C51&gt;0,IF(E51&gt;Consol_Tol_FTE,"Yes","No"),"No"))</f>
        <v>No</v>
      </c>
      <c r="H51" s="535"/>
      <c r="I51" s="587"/>
      <c r="J51" s="1229"/>
    </row>
    <row r="52" spans="1:10" ht="50.1" customHeight="1">
      <c r="A52" s="1081"/>
      <c r="B52" s="635" t="s">
        <v>180</v>
      </c>
      <c r="C52" s="535"/>
      <c r="D52" s="636"/>
      <c r="E52" s="636"/>
      <c r="F52" s="636"/>
      <c r="G52" s="637"/>
      <c r="H52" s="535"/>
      <c r="I52" s="589"/>
      <c r="J52" s="1229"/>
    </row>
    <row r="53" spans="1:10" ht="30" customHeight="1">
      <c r="A53" s="1081"/>
      <c r="B53" s="629" t="s">
        <v>19</v>
      </c>
      <c r="C53" s="655">
        <f>VLOOKUP(Background!$C$2,Inst_FPs,50,FALSE)</f>
        <v>660</v>
      </c>
      <c r="D53" s="668">
        <f>SUM('Table 1 (Main)'!$U$22,'Table 1 (Main)'!$U$34)</f>
        <v>764.88</v>
      </c>
      <c r="E53" s="668">
        <f>D53-C53</f>
        <v>104.88</v>
      </c>
      <c r="F53" s="630">
        <f>IF(C53&gt;0,E53/C53,"")</f>
        <v>0.15890909090909089</v>
      </c>
      <c r="G53" s="631" t="str">
        <f>IF(C53&gt;=100,IF(F53&gt;Consol_Tol_Per,"Yes","No"),IF(C53&gt;0,IF(E53&gt;Consol_Tol_FTE,"Yes","No"),"No"))</f>
        <v>Yes</v>
      </c>
      <c r="H53" s="535"/>
      <c r="I53" s="589"/>
      <c r="J53" s="1229"/>
    </row>
    <row r="54" spans="1:10" ht="30" customHeight="1">
      <c r="A54" s="1081"/>
      <c r="B54" s="629" t="s">
        <v>20</v>
      </c>
      <c r="C54" s="655">
        <f>VLOOKUP(Background!$C$2,Inst_FPs,51,FALSE)</f>
        <v>284</v>
      </c>
      <c r="D54" s="668">
        <f>SUM('Table 1 (Main)'!$U$23,'Table 1 (Main)'!$U$35,'Table 1 (Main)'!$U$36,'Table 1 (Main)'!$U$37)</f>
        <v>261.60000000000002</v>
      </c>
      <c r="E54" s="668">
        <f>D54-C54</f>
        <v>-22.399999999999977</v>
      </c>
      <c r="F54" s="630">
        <f>IF(C54&gt;0,E54/C54,"")</f>
        <v>-7.8873239436619641E-2</v>
      </c>
      <c r="G54" s="631" t="str">
        <f>IF(C54&gt;=100,IF(F54&gt;Consol_Tol_Per,"Yes","No"),IF(C54&gt;0,IF(E54&gt;Consol_Tol_FTE,"Yes","No"),"No"))</f>
        <v>No</v>
      </c>
      <c r="H54" s="535"/>
      <c r="I54" s="589"/>
      <c r="J54" s="1229"/>
    </row>
    <row r="55" spans="1:10" ht="35.1" customHeight="1">
      <c r="A55" s="1081"/>
      <c r="B55" s="635" t="s">
        <v>172</v>
      </c>
      <c r="C55" s="638"/>
      <c r="D55" s="639"/>
      <c r="E55" s="639"/>
      <c r="F55" s="639"/>
      <c r="G55" s="640"/>
      <c r="H55" s="535"/>
      <c r="I55" s="589"/>
      <c r="J55" s="1229"/>
    </row>
    <row r="56" spans="1:10" ht="30" customHeight="1">
      <c r="A56" s="1081"/>
      <c r="B56" s="641" t="s">
        <v>170</v>
      </c>
      <c r="C56" s="655">
        <f>VLOOKUP(Background!$C$2,Inst_FPs,52,FALSE)</f>
        <v>76</v>
      </c>
      <c r="D56" s="628">
        <f>'Table 1 (Main)'!$U$16+'Table 1 (Main)'!$U$39+'Table 1 (Main)'!$U$40</f>
        <v>87</v>
      </c>
      <c r="E56" s="668">
        <f>D56-C56</f>
        <v>11</v>
      </c>
      <c r="F56" s="630">
        <f>IF(C56&gt;0,E56/C56,"")</f>
        <v>0.14473684210526316</v>
      </c>
      <c r="G56" s="631" t="str">
        <f>IF(C56&gt;=100,IF(F56&gt;Consol_Tol_Per,"Yes","No"),IF(C56&gt;0,IF(E56&gt;Consol_Tol_FTE,"Yes","No"),"No"))</f>
        <v>Yes</v>
      </c>
      <c r="H56" s="535"/>
      <c r="I56" s="589"/>
      <c r="J56" s="1229"/>
    </row>
    <row r="57" spans="1:10" ht="35.1" customHeight="1">
      <c r="A57" s="1081"/>
      <c r="B57" s="642" t="s">
        <v>144</v>
      </c>
      <c r="C57" s="636"/>
      <c r="D57" s="636"/>
      <c r="E57" s="636"/>
      <c r="F57" s="636"/>
      <c r="G57" s="637"/>
      <c r="H57" s="535"/>
      <c r="I57" s="589"/>
      <c r="J57" s="1229"/>
    </row>
    <row r="58" spans="1:10" ht="30" customHeight="1" thickBot="1">
      <c r="A58" s="1081"/>
      <c r="B58" s="643" t="s">
        <v>173</v>
      </c>
      <c r="C58" s="1593">
        <f>VLOOKUP(Background!$C$2,Inst_FPs,53,FALSE)</f>
        <v>10984</v>
      </c>
      <c r="D58" s="661">
        <f>SUM('Table 1 (Main)'!$H$42,'Table 1 (Main)'!$H$43)</f>
        <v>10905.369999999999</v>
      </c>
      <c r="E58" s="661">
        <f>D58-C58</f>
        <v>-78.630000000001019</v>
      </c>
      <c r="F58" s="618">
        <f>IF(C58&gt;0,E58/C58,"")</f>
        <v>-7.1585943190095608E-3</v>
      </c>
      <c r="G58" s="644" t="str">
        <f>IF(C58&gt;=100,IF(F58&gt;Consol_Tol_Per,"Yes","No"),IF(C58&gt;0,IF(E58&gt;Consol_Tol_FTE,"Yes","No"),"No"))</f>
        <v>No</v>
      </c>
      <c r="H58" s="535"/>
      <c r="I58" s="589"/>
      <c r="J58" s="1229"/>
    </row>
    <row r="59" spans="1:10" ht="18.95" customHeight="1">
      <c r="A59" s="907"/>
      <c r="B59" s="1236"/>
      <c r="C59" s="1237"/>
      <c r="D59" s="1237"/>
      <c r="E59" s="1237"/>
      <c r="F59" s="1237"/>
      <c r="G59" s="1237"/>
      <c r="H59" s="1237"/>
      <c r="I59" s="1237"/>
      <c r="J59" s="1238"/>
    </row>
    <row r="60" spans="1:10" ht="24.95" hidden="1" customHeight="1">
      <c r="A60" s="126"/>
      <c r="B60" s="645" t="s">
        <v>136</v>
      </c>
      <c r="C60" s="646"/>
      <c r="D60" s="646"/>
      <c r="E60" s="646"/>
      <c r="F60" s="646"/>
      <c r="G60" s="646"/>
      <c r="H60" s="126"/>
      <c r="I60" s="126"/>
      <c r="J60" s="126"/>
    </row>
    <row r="61" spans="1:10" ht="24.95" hidden="1" customHeight="1">
      <c r="A61" s="126"/>
      <c r="B61" s="126" t="s">
        <v>137</v>
      </c>
      <c r="C61" s="647">
        <v>0.03</v>
      </c>
      <c r="D61" s="646"/>
      <c r="E61" s="646"/>
      <c r="F61" s="646"/>
      <c r="G61" s="646"/>
      <c r="H61" s="126"/>
      <c r="I61" s="126"/>
      <c r="J61" s="126"/>
    </row>
    <row r="62" spans="1:10" ht="24.95" hidden="1" customHeight="1">
      <c r="A62" s="126"/>
      <c r="B62" s="126" t="s">
        <v>138</v>
      </c>
      <c r="C62" s="647">
        <v>0.02</v>
      </c>
      <c r="D62" s="646"/>
      <c r="E62" s="646"/>
      <c r="F62" s="646"/>
      <c r="G62" s="646"/>
      <c r="H62" s="126"/>
      <c r="I62" s="126"/>
      <c r="J62" s="126"/>
    </row>
    <row r="63" spans="1:10" ht="24.95" hidden="1" customHeight="1">
      <c r="A63" s="126"/>
      <c r="B63" s="126" t="s">
        <v>174</v>
      </c>
      <c r="C63" s="647">
        <v>0.1</v>
      </c>
      <c r="D63" s="646"/>
      <c r="E63" s="646"/>
      <c r="F63" s="646"/>
      <c r="G63" s="646"/>
      <c r="H63" s="126"/>
      <c r="I63" s="126"/>
      <c r="J63" s="126"/>
    </row>
    <row r="64" spans="1:10" ht="24.95" hidden="1" customHeight="1">
      <c r="A64" s="126"/>
      <c r="B64" s="126" t="s">
        <v>175</v>
      </c>
      <c r="C64" s="648">
        <v>10</v>
      </c>
      <c r="D64" s="646"/>
      <c r="E64" s="646"/>
      <c r="F64" s="646"/>
      <c r="G64" s="646"/>
      <c r="H64" s="126"/>
      <c r="I64" s="126"/>
      <c r="J64" s="126"/>
    </row>
  </sheetData>
  <sheetProtection password="E23E" sheet="1" objects="1" scenarios="1"/>
  <mergeCells count="8">
    <mergeCell ref="C3:E3"/>
    <mergeCell ref="E43:F43"/>
    <mergeCell ref="B9:B11"/>
    <mergeCell ref="G9:H9"/>
    <mergeCell ref="B33:B34"/>
    <mergeCell ref="G33:H33"/>
    <mergeCell ref="C32:D32"/>
    <mergeCell ref="E32:I32"/>
  </mergeCells>
  <conditionalFormatting sqref="G47:G49">
    <cfRule type="cellIs" dxfId="6" priority="15" operator="equal">
      <formula>"YES"</formula>
    </cfRule>
  </conditionalFormatting>
  <conditionalFormatting sqref="G47:G49 I14:I17 I19:I24 I26">
    <cfRule type="cellIs" dxfId="5" priority="13" operator="equal">
      <formula>"YES"</formula>
    </cfRule>
  </conditionalFormatting>
  <conditionalFormatting sqref="I37">
    <cfRule type="cellIs" dxfId="4" priority="11" operator="equal">
      <formula>"YES"</formula>
    </cfRule>
  </conditionalFormatting>
  <conditionalFormatting sqref="G58 G56 G53:G54 G51">
    <cfRule type="cellIs" dxfId="3" priority="8" operator="equal">
      <formula>"YES"</formula>
    </cfRule>
  </conditionalFormatting>
  <conditionalFormatting sqref="G58 G56 G53:G54 G51">
    <cfRule type="cellIs" dxfId="2" priority="7" operator="equal">
      <formula>"YES"</formula>
    </cfRule>
  </conditionalFormatting>
  <conditionalFormatting sqref="B1:B2">
    <cfRule type="expression" dxfId="1" priority="2" stopIfTrue="1">
      <formula>#REF!=0</formula>
    </cfRule>
  </conditionalFormatting>
  <conditionalFormatting sqref="I27">
    <cfRule type="cellIs" dxfId="0" priority="1" operator="equal">
      <formula>"YES"</formula>
    </cfRule>
  </conditionalFormatting>
  <dataValidations count="1">
    <dataValidation allowBlank="1" sqref="G45:G46 C43:E45 B43 I9 B9 I33 J28:J59 H4:I5 C34:C36 B37:C37 G43 D46:F46 E56:G56 F44:F45 B47:B48 C46:C47 B49:C49 C51 C9:G28 C53:C56 D53:G54 D47:G51 J4:J8 C3 K28:FL28 K4:FL5 K6:FI8 J9:FJ27 B13:B28 H10:H28 I11:I31 G34:H37 D34:D37 B33:G33 E34:F36 I35:I51 C38:H39 B38 B50:B59 C58:G58"/>
  </dataValidations>
  <printOptions horizontalCentered="1"/>
  <pageMargins left="0.15748031496062992" right="0.15748031496062992" top="0.15748031496062992" bottom="0.15748031496062992" header="0.15748031496062992" footer="0.15748031496062992"/>
  <pageSetup paperSize="9" scale="65" fitToHeight="2" orientation="portrait" r:id="rId1"/>
  <headerFooter alignWithMargins="0"/>
  <rowBreaks count="1" manualBreakCount="1">
    <brk id="37" min="1"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P147"/>
  <sheetViews>
    <sheetView zoomScale="80" zoomScaleNormal="80" workbookViewId="0"/>
  </sheetViews>
  <sheetFormatPr defaultColWidth="9.140625" defaultRowHeight="15"/>
  <cols>
    <col min="1" max="1" width="7.7109375" style="1286" customWidth="1"/>
    <col min="2" max="2" width="45.7109375" style="1286" customWidth="1"/>
    <col min="3" max="65" width="12.7109375" style="1286" customWidth="1"/>
    <col min="66" max="68" width="8.85546875" customWidth="1"/>
    <col min="69" max="16384" width="9.140625" style="1286"/>
  </cols>
  <sheetData>
    <row r="2" spans="1:65" ht="30" customHeight="1">
      <c r="A2" s="1285" t="s">
        <v>130</v>
      </c>
      <c r="C2" s="1440">
        <v>8</v>
      </c>
      <c r="D2" s="1287" t="str">
        <f>VLOOKUP(C2,Inst_Tables,2,FALSE)</f>
        <v>Glasgow, University of</v>
      </c>
    </row>
    <row r="3" spans="1:65" ht="18" customHeight="1"/>
    <row r="4" spans="1:65" ht="20.100000000000001" customHeight="1">
      <c r="A4" s="1288" t="s">
        <v>146</v>
      </c>
    </row>
    <row r="6" spans="1:65">
      <c r="A6" s="1289" t="s">
        <v>133</v>
      </c>
    </row>
    <row r="7" spans="1:65" ht="20.100000000000001" customHeight="1">
      <c r="A7" s="1290">
        <v>1</v>
      </c>
      <c r="B7" s="1290">
        <v>2</v>
      </c>
      <c r="C7" s="1290">
        <v>3</v>
      </c>
      <c r="D7" s="1290">
        <v>4</v>
      </c>
      <c r="E7" s="1290">
        <v>5</v>
      </c>
      <c r="F7" s="1290">
        <v>6</v>
      </c>
      <c r="G7" s="1290">
        <v>7</v>
      </c>
      <c r="H7" s="1290">
        <v>8</v>
      </c>
      <c r="I7" s="1290">
        <v>9</v>
      </c>
      <c r="J7" s="1290">
        <v>10</v>
      </c>
      <c r="K7" s="1290">
        <v>11</v>
      </c>
      <c r="L7" s="1290">
        <v>12</v>
      </c>
      <c r="M7" s="1290">
        <v>13</v>
      </c>
      <c r="N7" s="1290">
        <v>14</v>
      </c>
      <c r="O7" s="1290">
        <v>15</v>
      </c>
      <c r="P7" s="1290">
        <v>16</v>
      </c>
      <c r="Q7" s="1290">
        <v>17</v>
      </c>
      <c r="R7" s="1290">
        <v>18</v>
      </c>
      <c r="S7" s="1290">
        <v>19</v>
      </c>
      <c r="T7" s="1290">
        <v>20</v>
      </c>
      <c r="U7" s="1290">
        <v>21</v>
      </c>
      <c r="V7" s="1290">
        <v>22</v>
      </c>
      <c r="W7" s="1290">
        <v>23</v>
      </c>
      <c r="X7" s="1290">
        <v>24</v>
      </c>
      <c r="Y7" s="1290">
        <v>25</v>
      </c>
      <c r="Z7" s="1290">
        <v>26</v>
      </c>
      <c r="AA7" s="1290">
        <v>27</v>
      </c>
      <c r="AB7" s="1290">
        <v>28</v>
      </c>
      <c r="AC7" s="1290">
        <v>29</v>
      </c>
      <c r="AD7" s="1290">
        <v>30</v>
      </c>
      <c r="AE7" s="1290">
        <v>31</v>
      </c>
      <c r="AF7" s="1290">
        <v>32</v>
      </c>
      <c r="AG7" s="1290">
        <v>33</v>
      </c>
      <c r="AH7" s="1290">
        <v>34</v>
      </c>
      <c r="AI7" s="1290">
        <v>35</v>
      </c>
      <c r="AJ7" s="1290">
        <v>36</v>
      </c>
      <c r="AK7" s="1290">
        <v>37</v>
      </c>
      <c r="AL7" s="1290">
        <v>38</v>
      </c>
      <c r="AM7" s="1290">
        <v>39</v>
      </c>
      <c r="AN7" s="1290">
        <v>40</v>
      </c>
      <c r="AO7" s="1290">
        <v>41</v>
      </c>
      <c r="AP7" s="1290">
        <v>42</v>
      </c>
      <c r="AQ7" s="1290">
        <v>43</v>
      </c>
      <c r="AR7" s="1290">
        <v>44</v>
      </c>
      <c r="AS7" s="1290">
        <v>45</v>
      </c>
      <c r="AT7" s="1290">
        <v>46</v>
      </c>
      <c r="AU7" s="1290">
        <v>47</v>
      </c>
      <c r="AV7" s="1290">
        <v>48</v>
      </c>
      <c r="AW7" s="1290">
        <v>49</v>
      </c>
      <c r="AX7" s="1290">
        <v>50</v>
      </c>
      <c r="AY7" s="1290">
        <v>51</v>
      </c>
      <c r="AZ7" s="1290">
        <v>52</v>
      </c>
      <c r="BA7" s="1290">
        <v>53</v>
      </c>
    </row>
    <row r="8" spans="1:65" ht="15.75" thickBot="1"/>
    <row r="9" spans="1:65" ht="35.1" customHeight="1">
      <c r="A9" s="1291"/>
      <c r="B9" s="1292"/>
      <c r="C9" s="1820" t="s">
        <v>384</v>
      </c>
      <c r="D9" s="1821"/>
      <c r="E9" s="1821"/>
      <c r="F9" s="1821"/>
      <c r="G9" s="1821"/>
      <c r="H9" s="1821"/>
      <c r="I9" s="1821"/>
      <c r="J9" s="1837"/>
      <c r="K9" s="1821" t="s">
        <v>385</v>
      </c>
      <c r="L9" s="1821"/>
      <c r="M9" s="1821"/>
      <c r="N9" s="1821"/>
      <c r="O9" s="1821"/>
      <c r="P9" s="1821"/>
      <c r="Q9" s="1821"/>
      <c r="R9" s="1837"/>
      <c r="S9" s="1843" t="s">
        <v>259</v>
      </c>
      <c r="T9" s="1821"/>
      <c r="U9" s="1821"/>
      <c r="V9" s="1821"/>
      <c r="W9" s="1821"/>
      <c r="X9" s="1821"/>
      <c r="Y9" s="1821"/>
      <c r="Z9" s="1821"/>
      <c r="AA9" s="1837"/>
      <c r="AB9" s="1838" t="s">
        <v>390</v>
      </c>
      <c r="AC9" s="1821" t="s">
        <v>387</v>
      </c>
      <c r="AD9" s="1821"/>
      <c r="AE9" s="1821"/>
      <c r="AF9" s="1821"/>
      <c r="AG9" s="1821"/>
      <c r="AH9" s="1821"/>
      <c r="AI9" s="1821"/>
      <c r="AJ9" s="1821"/>
      <c r="AK9" s="1821"/>
      <c r="AL9" s="1821"/>
      <c r="AM9" s="1821"/>
      <c r="AN9" s="1822"/>
      <c r="AO9" s="1820" t="s">
        <v>386</v>
      </c>
      <c r="AP9" s="1821"/>
      <c r="AQ9" s="1821"/>
      <c r="AR9" s="1821"/>
      <c r="AS9" s="1821"/>
      <c r="AT9" s="1821"/>
      <c r="AU9" s="1822"/>
      <c r="AV9" s="1826" t="s">
        <v>388</v>
      </c>
      <c r="AW9" s="1826"/>
      <c r="AX9" s="1826"/>
      <c r="AY9" s="1826"/>
      <c r="AZ9" s="1826"/>
      <c r="BA9" s="1828" t="s">
        <v>389</v>
      </c>
      <c r="BC9" s="1383"/>
      <c r="BD9" s="1383"/>
      <c r="BE9" s="1383"/>
      <c r="BF9" s="1383"/>
      <c r="BG9" s="1383"/>
      <c r="BH9" s="1586"/>
      <c r="BI9" s="1586"/>
      <c r="BJ9" s="1586"/>
      <c r="BK9" s="1575"/>
      <c r="BL9" s="1575"/>
      <c r="BM9" s="1575"/>
    </row>
    <row r="10" spans="1:65" ht="90" customHeight="1">
      <c r="A10" s="1293" t="s">
        <v>108</v>
      </c>
      <c r="B10" s="1294"/>
      <c r="C10" s="1295" t="s">
        <v>187</v>
      </c>
      <c r="D10" s="584" t="s">
        <v>258</v>
      </c>
      <c r="E10" s="584" t="s">
        <v>257</v>
      </c>
      <c r="F10" s="1296" t="s">
        <v>190</v>
      </c>
      <c r="G10" s="1297" t="s">
        <v>213</v>
      </c>
      <c r="H10" s="584" t="s">
        <v>186</v>
      </c>
      <c r="I10" s="584" t="s">
        <v>119</v>
      </c>
      <c r="J10" s="584" t="s">
        <v>182</v>
      </c>
      <c r="K10" s="1303" t="s">
        <v>187</v>
      </c>
      <c r="L10" s="1298" t="s">
        <v>188</v>
      </c>
      <c r="M10" s="1298" t="s">
        <v>189</v>
      </c>
      <c r="N10" s="1296" t="s">
        <v>190</v>
      </c>
      <c r="O10" s="1299" t="s">
        <v>185</v>
      </c>
      <c r="P10" s="1300" t="s">
        <v>186</v>
      </c>
      <c r="Q10" s="1298" t="s">
        <v>119</v>
      </c>
      <c r="R10" s="1299" t="s">
        <v>182</v>
      </c>
      <c r="S10" s="1298" t="s">
        <v>187</v>
      </c>
      <c r="T10" s="1298" t="s">
        <v>188</v>
      </c>
      <c r="U10" s="1298" t="s">
        <v>189</v>
      </c>
      <c r="V10" s="1296" t="s">
        <v>190</v>
      </c>
      <c r="W10" s="1299" t="s">
        <v>185</v>
      </c>
      <c r="X10" s="1300" t="s">
        <v>186</v>
      </c>
      <c r="Y10" s="1298" t="s">
        <v>119</v>
      </c>
      <c r="Z10" s="1299" t="s">
        <v>182</v>
      </c>
      <c r="AA10" s="1301" t="s">
        <v>2</v>
      </c>
      <c r="AB10" s="1839"/>
      <c r="AC10" s="1303" t="s">
        <v>109</v>
      </c>
      <c r="AD10" s="1302" t="s">
        <v>110</v>
      </c>
      <c r="AE10" s="1303" t="s">
        <v>234</v>
      </c>
      <c r="AF10" s="1302" t="s">
        <v>235</v>
      </c>
      <c r="AG10" s="1298" t="s">
        <v>111</v>
      </c>
      <c r="AH10" s="1298" t="s">
        <v>112</v>
      </c>
      <c r="AI10" s="1298" t="s">
        <v>113</v>
      </c>
      <c r="AJ10" s="1298" t="s">
        <v>114</v>
      </c>
      <c r="AK10" s="1298" t="s">
        <v>115</v>
      </c>
      <c r="AL10" s="1298" t="s">
        <v>116</v>
      </c>
      <c r="AM10" s="1298" t="s">
        <v>261</v>
      </c>
      <c r="AN10" s="1298" t="s">
        <v>2</v>
      </c>
      <c r="AO10" s="1304" t="s">
        <v>109</v>
      </c>
      <c r="AP10" s="1302" t="s">
        <v>110</v>
      </c>
      <c r="AQ10" s="1302" t="s">
        <v>111</v>
      </c>
      <c r="AR10" s="1302" t="s">
        <v>115</v>
      </c>
      <c r="AS10" s="1302" t="s">
        <v>116</v>
      </c>
      <c r="AT10" s="1302" t="s">
        <v>260</v>
      </c>
      <c r="AU10" s="1305" t="s">
        <v>2</v>
      </c>
      <c r="AV10" s="1306" t="s">
        <v>134</v>
      </c>
      <c r="AW10" s="1307" t="s">
        <v>135</v>
      </c>
      <c r="AX10" s="1308" t="s">
        <v>191</v>
      </c>
      <c r="AY10" s="1308" t="s">
        <v>192</v>
      </c>
      <c r="AZ10" s="1309" t="s">
        <v>193</v>
      </c>
      <c r="BA10" s="1829"/>
      <c r="BC10" s="1586"/>
      <c r="BD10" s="1586"/>
      <c r="BE10" s="1586"/>
      <c r="BF10" s="1587"/>
      <c r="BG10" s="1383"/>
      <c r="BH10" s="1575"/>
      <c r="BI10" s="1575"/>
      <c r="BJ10" s="1575"/>
      <c r="BK10" s="1564"/>
      <c r="BL10" s="1564"/>
      <c r="BM10" s="1564"/>
    </row>
    <row r="11" spans="1:65" ht="24.95" customHeight="1">
      <c r="A11" s="1856" t="s">
        <v>212</v>
      </c>
      <c r="B11" s="1310" t="s">
        <v>147</v>
      </c>
      <c r="C11" s="1311" t="s">
        <v>18</v>
      </c>
      <c r="D11" s="1312" t="s">
        <v>18</v>
      </c>
      <c r="E11" s="1312" t="s">
        <v>18</v>
      </c>
      <c r="F11" s="1312" t="s">
        <v>18</v>
      </c>
      <c r="G11" s="1312" t="s">
        <v>18</v>
      </c>
      <c r="H11" s="1312" t="s">
        <v>18</v>
      </c>
      <c r="I11" s="1312" t="s">
        <v>18</v>
      </c>
      <c r="J11" s="1312" t="s">
        <v>18</v>
      </c>
      <c r="K11" s="1568" t="s">
        <v>18</v>
      </c>
      <c r="L11" s="1314" t="s">
        <v>18</v>
      </c>
      <c r="M11" s="1314" t="s">
        <v>18</v>
      </c>
      <c r="N11" s="1314" t="s">
        <v>18</v>
      </c>
      <c r="O11" s="1314" t="s">
        <v>18</v>
      </c>
      <c r="P11" s="1314" t="s">
        <v>18</v>
      </c>
      <c r="Q11" s="1314" t="s">
        <v>18</v>
      </c>
      <c r="R11" s="1314" t="s">
        <v>18</v>
      </c>
      <c r="S11" s="1313" t="s">
        <v>18</v>
      </c>
      <c r="T11" s="1314" t="s">
        <v>18</v>
      </c>
      <c r="U11" s="1314" t="s">
        <v>18</v>
      </c>
      <c r="V11" s="1314" t="s">
        <v>18</v>
      </c>
      <c r="W11" s="1314" t="s">
        <v>18</v>
      </c>
      <c r="X11" s="1314" t="s">
        <v>18</v>
      </c>
      <c r="Y11" s="1314" t="s">
        <v>18</v>
      </c>
      <c r="Z11" s="1313" t="s">
        <v>18</v>
      </c>
      <c r="AA11" s="1315"/>
      <c r="AB11" s="1579" t="s">
        <v>18</v>
      </c>
      <c r="AC11" s="1320" t="s">
        <v>18</v>
      </c>
      <c r="AD11" s="1317" t="s">
        <v>18</v>
      </c>
      <c r="AE11" s="1318" t="s">
        <v>18</v>
      </c>
      <c r="AF11" s="1317" t="s">
        <v>18</v>
      </c>
      <c r="AG11" s="1319" t="s">
        <v>18</v>
      </c>
      <c r="AH11" s="1319" t="s">
        <v>18</v>
      </c>
      <c r="AI11" s="1319" t="s">
        <v>18</v>
      </c>
      <c r="AJ11" s="1319" t="s">
        <v>18</v>
      </c>
      <c r="AK11" s="1319" t="s">
        <v>18</v>
      </c>
      <c r="AL11" s="1319" t="s">
        <v>18</v>
      </c>
      <c r="AM11" s="1319" t="s">
        <v>18</v>
      </c>
      <c r="AN11" s="1320" t="s">
        <v>18</v>
      </c>
      <c r="AO11" s="1316" t="s">
        <v>18</v>
      </c>
      <c r="AP11" s="1317" t="s">
        <v>18</v>
      </c>
      <c r="AQ11" s="1318" t="s">
        <v>18</v>
      </c>
      <c r="AR11" s="1317" t="s">
        <v>18</v>
      </c>
      <c r="AS11" s="1319" t="s">
        <v>18</v>
      </c>
      <c r="AT11" s="1319" t="s">
        <v>18</v>
      </c>
      <c r="AU11" s="1321" t="s">
        <v>18</v>
      </c>
      <c r="AV11" s="1322" t="s">
        <v>18</v>
      </c>
      <c r="AW11" s="1323" t="s">
        <v>18</v>
      </c>
      <c r="AX11" s="1323" t="s">
        <v>18</v>
      </c>
      <c r="AY11" s="1323" t="s">
        <v>18</v>
      </c>
      <c r="AZ11" s="1324" t="s">
        <v>18</v>
      </c>
      <c r="BA11" s="1325" t="s">
        <v>18</v>
      </c>
      <c r="BC11" s="1588"/>
      <c r="BD11" s="1588"/>
      <c r="BE11" s="1588"/>
      <c r="BF11" s="1589"/>
      <c r="BG11" s="1383"/>
      <c r="BH11" s="1383"/>
      <c r="BI11" s="1585"/>
      <c r="BJ11" s="1585"/>
      <c r="BK11" s="1580"/>
      <c r="BL11" s="1580"/>
      <c r="BM11" s="1580"/>
    </row>
    <row r="12" spans="1:65" ht="24.95" customHeight="1">
      <c r="A12" s="1857"/>
      <c r="B12" s="1326"/>
      <c r="C12" s="1482">
        <v>1</v>
      </c>
      <c r="D12" s="1483">
        <v>2</v>
      </c>
      <c r="E12" s="1484">
        <v>3</v>
      </c>
      <c r="F12" s="1485">
        <v>4</v>
      </c>
      <c r="G12" s="1485">
        <v>5</v>
      </c>
      <c r="H12" s="1485">
        <v>6</v>
      </c>
      <c r="I12" s="1485">
        <v>7</v>
      </c>
      <c r="J12" s="1485">
        <v>8</v>
      </c>
      <c r="K12" s="1482">
        <v>9</v>
      </c>
      <c r="L12" s="1483">
        <v>10</v>
      </c>
      <c r="M12" s="1484">
        <v>11</v>
      </c>
      <c r="N12" s="1485">
        <v>12</v>
      </c>
      <c r="O12" s="1485">
        <v>13</v>
      </c>
      <c r="P12" s="1485">
        <v>14</v>
      </c>
      <c r="Q12" s="1485">
        <v>15</v>
      </c>
      <c r="R12" s="1485">
        <v>16</v>
      </c>
      <c r="S12" s="1482">
        <v>17</v>
      </c>
      <c r="T12" s="1483">
        <v>18</v>
      </c>
      <c r="U12" s="1484">
        <v>19</v>
      </c>
      <c r="V12" s="1485">
        <v>20</v>
      </c>
      <c r="W12" s="1485">
        <v>21</v>
      </c>
      <c r="X12" s="1485">
        <v>22</v>
      </c>
      <c r="Y12" s="1485">
        <v>23</v>
      </c>
      <c r="Z12" s="1485">
        <v>24</v>
      </c>
      <c r="AA12" s="1541">
        <v>25</v>
      </c>
      <c r="AB12" s="1543">
        <v>26</v>
      </c>
      <c r="AC12" s="1590">
        <v>27</v>
      </c>
      <c r="AD12" s="1485">
        <v>28</v>
      </c>
      <c r="AE12" s="1485">
        <v>29</v>
      </c>
      <c r="AF12" s="1485">
        <v>30</v>
      </c>
      <c r="AG12" s="1485">
        <v>31</v>
      </c>
      <c r="AH12" s="1485">
        <v>32</v>
      </c>
      <c r="AI12" s="1541">
        <v>33</v>
      </c>
      <c r="AJ12" s="1485">
        <v>34</v>
      </c>
      <c r="AK12" s="1485">
        <v>35</v>
      </c>
      <c r="AL12" s="1485">
        <v>36</v>
      </c>
      <c r="AM12" s="1485">
        <v>37</v>
      </c>
      <c r="AN12" s="1543">
        <v>38</v>
      </c>
      <c r="AO12" s="1592">
        <v>39</v>
      </c>
      <c r="AP12" s="1485">
        <v>40</v>
      </c>
      <c r="AQ12" s="1541">
        <v>41</v>
      </c>
      <c r="AR12" s="1485">
        <v>42</v>
      </c>
      <c r="AS12" s="1485">
        <v>43</v>
      </c>
      <c r="AT12" s="1485">
        <v>44</v>
      </c>
      <c r="AU12" s="1543">
        <v>45</v>
      </c>
      <c r="AV12" s="1591">
        <v>46</v>
      </c>
      <c r="AW12" s="1485">
        <v>47</v>
      </c>
      <c r="AX12" s="1485">
        <v>48</v>
      </c>
      <c r="AY12" s="1541">
        <v>49</v>
      </c>
      <c r="AZ12" s="1485">
        <v>50</v>
      </c>
      <c r="BA12" s="1543">
        <v>51</v>
      </c>
      <c r="BC12" s="1383"/>
      <c r="BD12" s="1383"/>
      <c r="BE12" s="1383"/>
      <c r="BF12" s="1383"/>
      <c r="BG12" s="1383"/>
      <c r="BH12" s="1383"/>
      <c r="BI12" s="1576"/>
      <c r="BJ12" s="1576"/>
      <c r="BK12" s="1581"/>
      <c r="BL12" s="1581"/>
      <c r="BM12" s="1581"/>
    </row>
    <row r="13" spans="1:65" ht="24.95" customHeight="1">
      <c r="A13" s="1327">
        <v>1</v>
      </c>
      <c r="B13" s="1328" t="s">
        <v>44</v>
      </c>
      <c r="C13" s="1572">
        <v>28.7</v>
      </c>
      <c r="D13" s="1565">
        <v>15</v>
      </c>
      <c r="E13" s="1565">
        <v>98</v>
      </c>
      <c r="F13" s="1565">
        <v>71</v>
      </c>
      <c r="G13" s="1565">
        <v>0</v>
      </c>
      <c r="H13" s="1565">
        <v>0</v>
      </c>
      <c r="I13" s="1565">
        <v>0</v>
      </c>
      <c r="J13" s="1565">
        <v>0</v>
      </c>
      <c r="K13" s="1569">
        <v>10</v>
      </c>
      <c r="L13" s="1565">
        <v>10</v>
      </c>
      <c r="M13" s="1565">
        <v>50</v>
      </c>
      <c r="N13" s="1565">
        <v>0</v>
      </c>
      <c r="O13" s="1565">
        <v>0</v>
      </c>
      <c r="P13" s="1565">
        <v>0</v>
      </c>
      <c r="Q13" s="1565">
        <v>0</v>
      </c>
      <c r="R13" s="1565">
        <v>0</v>
      </c>
      <c r="S13" s="1329">
        <f>C13+K13</f>
        <v>38.700000000000003</v>
      </c>
      <c r="T13" s="1329">
        <f t="shared" ref="T13:Z28" si="0">D13+L13</f>
        <v>25</v>
      </c>
      <c r="U13" s="1329">
        <f t="shared" si="0"/>
        <v>148</v>
      </c>
      <c r="V13" s="1329">
        <f t="shared" si="0"/>
        <v>71</v>
      </c>
      <c r="W13" s="1329">
        <f t="shared" si="0"/>
        <v>0</v>
      </c>
      <c r="X13" s="1329">
        <f t="shared" si="0"/>
        <v>0</v>
      </c>
      <c r="Y13" s="1329">
        <f t="shared" si="0"/>
        <v>0</v>
      </c>
      <c r="Z13" s="1329">
        <f t="shared" si="0"/>
        <v>0</v>
      </c>
      <c r="AA13" s="1330">
        <f>SUM(S13:Z13)</f>
        <v>282.7</v>
      </c>
      <c r="AB13" s="1583">
        <v>6659.2999999999993</v>
      </c>
      <c r="AC13" s="1578">
        <v>393.6</v>
      </c>
      <c r="AD13" s="1574">
        <v>0</v>
      </c>
      <c r="AE13" s="1574">
        <v>236.1</v>
      </c>
      <c r="AF13" s="1574">
        <v>0</v>
      </c>
      <c r="AG13" s="1574">
        <v>376</v>
      </c>
      <c r="AH13" s="1574">
        <v>54</v>
      </c>
      <c r="AI13" s="1574">
        <v>0</v>
      </c>
      <c r="AJ13" s="1574">
        <v>0</v>
      </c>
      <c r="AK13" s="1574">
        <v>55.6</v>
      </c>
      <c r="AL13" s="1574">
        <v>113.5</v>
      </c>
      <c r="AM13" s="1574">
        <v>0</v>
      </c>
      <c r="AN13" s="1331">
        <f>SUM(AC13:AM13)</f>
        <v>1228.8</v>
      </c>
      <c r="AO13" s="1332">
        <v>18</v>
      </c>
      <c r="AP13" s="1333">
        <v>52.9</v>
      </c>
      <c r="AQ13" s="1334">
        <v>0</v>
      </c>
      <c r="AR13" s="1333">
        <v>150</v>
      </c>
      <c r="AS13" s="1333">
        <v>58</v>
      </c>
      <c r="AT13" s="1334">
        <v>0</v>
      </c>
      <c r="AU13" s="1335">
        <f>SUM(AO13:AT13)</f>
        <v>278.89999999999998</v>
      </c>
      <c r="AV13" s="1339">
        <v>789</v>
      </c>
      <c r="AW13" s="1340">
        <v>81</v>
      </c>
      <c r="AX13" s="1341">
        <v>602</v>
      </c>
      <c r="AY13" s="1342">
        <v>232</v>
      </c>
      <c r="AZ13" s="1343">
        <v>0</v>
      </c>
      <c r="BA13" s="1336">
        <v>6206</v>
      </c>
      <c r="BC13" s="1585"/>
      <c r="BD13" s="1585"/>
      <c r="BE13" s="1585"/>
      <c r="BF13" s="1585"/>
      <c r="BG13" s="1383"/>
      <c r="BH13" s="1383"/>
      <c r="BI13" s="1585"/>
      <c r="BJ13" s="1585"/>
      <c r="BK13" s="1580"/>
      <c r="BL13" s="1580"/>
      <c r="BM13" s="1580"/>
    </row>
    <row r="14" spans="1:65" ht="20.100000000000001" customHeight="1">
      <c r="A14" s="1337">
        <v>2</v>
      </c>
      <c r="B14" s="1338" t="s">
        <v>45</v>
      </c>
      <c r="C14" s="1573">
        <v>0</v>
      </c>
      <c r="D14" s="1566">
        <v>80</v>
      </c>
      <c r="E14" s="1566">
        <v>24</v>
      </c>
      <c r="F14" s="1566">
        <v>20</v>
      </c>
      <c r="G14" s="1566">
        <v>0</v>
      </c>
      <c r="H14" s="1566">
        <v>0</v>
      </c>
      <c r="I14" s="1566">
        <v>0</v>
      </c>
      <c r="J14" s="1566">
        <v>0</v>
      </c>
      <c r="K14" s="1570">
        <v>0</v>
      </c>
      <c r="L14" s="1566">
        <v>40</v>
      </c>
      <c r="M14" s="1566">
        <v>12</v>
      </c>
      <c r="N14" s="1566">
        <v>0</v>
      </c>
      <c r="O14" s="1566">
        <v>0</v>
      </c>
      <c r="P14" s="1566">
        <v>0</v>
      </c>
      <c r="Q14" s="1566">
        <v>0</v>
      </c>
      <c r="R14" s="1566">
        <v>0</v>
      </c>
      <c r="S14" s="1333">
        <f t="shared" ref="S14:S33" si="1">C14+K14</f>
        <v>0</v>
      </c>
      <c r="T14" s="1333">
        <f t="shared" si="0"/>
        <v>120</v>
      </c>
      <c r="U14" s="1333">
        <f t="shared" si="0"/>
        <v>36</v>
      </c>
      <c r="V14" s="1333">
        <f t="shared" si="0"/>
        <v>20</v>
      </c>
      <c r="W14" s="1333">
        <f t="shared" si="0"/>
        <v>0</v>
      </c>
      <c r="X14" s="1333">
        <f t="shared" si="0"/>
        <v>0</v>
      </c>
      <c r="Y14" s="1333">
        <f t="shared" si="0"/>
        <v>0</v>
      </c>
      <c r="Z14" s="1333">
        <f t="shared" si="0"/>
        <v>0</v>
      </c>
      <c r="AA14" s="1330">
        <f t="shared" ref="AA14:AA31" si="2">SUM(S14:Z14)</f>
        <v>176</v>
      </c>
      <c r="AB14" s="1583">
        <v>3169.5</v>
      </c>
      <c r="AC14" s="1578">
        <v>0</v>
      </c>
      <c r="AD14" s="1574">
        <v>0</v>
      </c>
      <c r="AE14" s="1574">
        <v>0</v>
      </c>
      <c r="AF14" s="1574">
        <v>0</v>
      </c>
      <c r="AG14" s="1574">
        <v>0</v>
      </c>
      <c r="AH14" s="1574">
        <v>0</v>
      </c>
      <c r="AI14" s="1574">
        <v>0</v>
      </c>
      <c r="AJ14" s="1574">
        <v>0</v>
      </c>
      <c r="AK14" s="1574">
        <v>0</v>
      </c>
      <c r="AL14" s="1574">
        <v>0</v>
      </c>
      <c r="AM14" s="1574">
        <v>77</v>
      </c>
      <c r="AN14" s="1331">
        <f>SUM(AC14:AM14)</f>
        <v>77</v>
      </c>
      <c r="AO14" s="1332">
        <v>0</v>
      </c>
      <c r="AP14" s="1333">
        <v>0</v>
      </c>
      <c r="AQ14" s="1333">
        <v>0</v>
      </c>
      <c r="AR14" s="1333">
        <v>0</v>
      </c>
      <c r="AS14" s="1333">
        <v>0</v>
      </c>
      <c r="AT14" s="1333">
        <v>0</v>
      </c>
      <c r="AU14" s="1335">
        <f t="shared" ref="AU14:AU31" si="3">SUM(AO14:AT14)</f>
        <v>0</v>
      </c>
      <c r="AV14" s="1339">
        <v>0</v>
      </c>
      <c r="AW14" s="1340">
        <v>0</v>
      </c>
      <c r="AX14" s="1341">
        <v>0</v>
      </c>
      <c r="AY14" s="1342">
        <v>0</v>
      </c>
      <c r="AZ14" s="1343">
        <v>77</v>
      </c>
      <c r="BA14" s="1336">
        <v>3377</v>
      </c>
      <c r="BC14" s="1585"/>
      <c r="BD14" s="1585"/>
      <c r="BE14" s="1585"/>
      <c r="BF14" s="1585"/>
      <c r="BH14" s="1585"/>
      <c r="BI14" s="1585"/>
      <c r="BJ14" s="1585"/>
      <c r="BK14" s="1580"/>
      <c r="BL14" s="1580"/>
      <c r="BM14" s="1580"/>
    </row>
    <row r="15" spans="1:65" ht="20.100000000000001" customHeight="1">
      <c r="A15" s="1337">
        <v>3</v>
      </c>
      <c r="B15" s="1338" t="s">
        <v>46</v>
      </c>
      <c r="C15" s="1573">
        <v>272</v>
      </c>
      <c r="D15" s="1566">
        <v>100</v>
      </c>
      <c r="E15" s="1566">
        <v>90</v>
      </c>
      <c r="F15" s="1566">
        <v>49</v>
      </c>
      <c r="G15" s="1566">
        <v>0</v>
      </c>
      <c r="H15" s="1566">
        <v>0</v>
      </c>
      <c r="I15" s="1566">
        <v>0</v>
      </c>
      <c r="J15" s="1566">
        <v>0</v>
      </c>
      <c r="K15" s="1570">
        <v>150</v>
      </c>
      <c r="L15" s="1566">
        <v>50</v>
      </c>
      <c r="M15" s="1566">
        <v>45</v>
      </c>
      <c r="N15" s="1566">
        <v>0</v>
      </c>
      <c r="O15" s="1566">
        <v>0</v>
      </c>
      <c r="P15" s="1566">
        <v>0</v>
      </c>
      <c r="Q15" s="1566">
        <v>0</v>
      </c>
      <c r="R15" s="1566">
        <v>0</v>
      </c>
      <c r="S15" s="1333">
        <f t="shared" si="1"/>
        <v>422</v>
      </c>
      <c r="T15" s="1333">
        <f t="shared" si="0"/>
        <v>150</v>
      </c>
      <c r="U15" s="1333">
        <f t="shared" si="0"/>
        <v>135</v>
      </c>
      <c r="V15" s="1333">
        <f t="shared" si="0"/>
        <v>49</v>
      </c>
      <c r="W15" s="1333">
        <f t="shared" si="0"/>
        <v>0</v>
      </c>
      <c r="X15" s="1333">
        <f t="shared" si="0"/>
        <v>0</v>
      </c>
      <c r="Y15" s="1333">
        <f t="shared" si="0"/>
        <v>0</v>
      </c>
      <c r="Z15" s="1333">
        <f t="shared" si="0"/>
        <v>0</v>
      </c>
      <c r="AA15" s="1330">
        <f t="shared" si="2"/>
        <v>756</v>
      </c>
      <c r="AB15" s="1583">
        <v>5712.9</v>
      </c>
      <c r="AC15" s="1578">
        <v>354.3</v>
      </c>
      <c r="AD15" s="1574">
        <v>176</v>
      </c>
      <c r="AE15" s="1574">
        <v>201.4</v>
      </c>
      <c r="AF15" s="1574">
        <v>31.5</v>
      </c>
      <c r="AG15" s="1574">
        <v>215.4</v>
      </c>
      <c r="AH15" s="1574">
        <v>0</v>
      </c>
      <c r="AI15" s="1574">
        <v>0</v>
      </c>
      <c r="AJ15" s="1574">
        <v>0</v>
      </c>
      <c r="AK15" s="1574">
        <v>38.5</v>
      </c>
      <c r="AL15" s="1574">
        <v>17.399999999999999</v>
      </c>
      <c r="AM15" s="1574">
        <v>0</v>
      </c>
      <c r="AN15" s="1331">
        <f t="shared" ref="AN15:AN31" si="4">SUM(AC15:AM15)</f>
        <v>1034.5</v>
      </c>
      <c r="AO15" s="1332">
        <v>18</v>
      </c>
      <c r="AP15" s="1333">
        <v>11.800000000000011</v>
      </c>
      <c r="AQ15" s="1334">
        <v>0</v>
      </c>
      <c r="AR15" s="1333">
        <v>141</v>
      </c>
      <c r="AS15" s="1333">
        <v>22</v>
      </c>
      <c r="AT15" s="1333">
        <v>1070</v>
      </c>
      <c r="AU15" s="1335">
        <f t="shared" si="3"/>
        <v>1262.8</v>
      </c>
      <c r="AV15" s="1339">
        <v>660</v>
      </c>
      <c r="AW15" s="1340">
        <v>272</v>
      </c>
      <c r="AX15" s="1341">
        <v>401</v>
      </c>
      <c r="AY15" s="1342">
        <v>40</v>
      </c>
      <c r="AZ15" s="1343">
        <v>1070</v>
      </c>
      <c r="BA15" s="1336">
        <v>5292</v>
      </c>
      <c r="BC15" s="1585"/>
      <c r="BD15" s="1585"/>
      <c r="BE15" s="1585"/>
      <c r="BF15" s="1585"/>
      <c r="BH15" s="1585"/>
      <c r="BI15" s="1585"/>
      <c r="BJ15" s="1585"/>
      <c r="BK15" s="1580"/>
      <c r="BL15" s="1580"/>
      <c r="BM15" s="1580"/>
    </row>
    <row r="16" spans="1:65" ht="20.100000000000001" customHeight="1">
      <c r="A16" s="1337">
        <v>4</v>
      </c>
      <c r="B16" s="1338" t="s">
        <v>63</v>
      </c>
      <c r="C16" s="1573">
        <v>0</v>
      </c>
      <c r="D16" s="1566">
        <v>214</v>
      </c>
      <c r="E16" s="1566">
        <v>0</v>
      </c>
      <c r="F16" s="1566">
        <v>24</v>
      </c>
      <c r="G16" s="1566">
        <v>0</v>
      </c>
      <c r="H16" s="1566">
        <v>0</v>
      </c>
      <c r="I16" s="1566">
        <v>0</v>
      </c>
      <c r="J16" s="1566">
        <v>0</v>
      </c>
      <c r="K16" s="1570">
        <v>0</v>
      </c>
      <c r="L16" s="1566">
        <v>107</v>
      </c>
      <c r="M16" s="1566">
        <v>0</v>
      </c>
      <c r="N16" s="1566">
        <v>0</v>
      </c>
      <c r="O16" s="1566">
        <v>0</v>
      </c>
      <c r="P16" s="1566">
        <v>0</v>
      </c>
      <c r="Q16" s="1566">
        <v>0</v>
      </c>
      <c r="R16" s="1566">
        <v>0</v>
      </c>
      <c r="S16" s="1333">
        <f t="shared" si="1"/>
        <v>0</v>
      </c>
      <c r="T16" s="1333">
        <f t="shared" si="0"/>
        <v>321</v>
      </c>
      <c r="U16" s="1333">
        <f t="shared" si="0"/>
        <v>0</v>
      </c>
      <c r="V16" s="1333">
        <f t="shared" si="0"/>
        <v>24</v>
      </c>
      <c r="W16" s="1333">
        <f t="shared" si="0"/>
        <v>0</v>
      </c>
      <c r="X16" s="1333">
        <f t="shared" si="0"/>
        <v>0</v>
      </c>
      <c r="Y16" s="1333">
        <f t="shared" si="0"/>
        <v>0</v>
      </c>
      <c r="Z16" s="1333">
        <f t="shared" si="0"/>
        <v>0</v>
      </c>
      <c r="AA16" s="1330">
        <f t="shared" si="2"/>
        <v>345</v>
      </c>
      <c r="AB16" s="1583">
        <v>7403.3</v>
      </c>
      <c r="AC16" s="1578">
        <v>0</v>
      </c>
      <c r="AD16" s="1574">
        <v>0</v>
      </c>
      <c r="AE16" s="1574">
        <v>0</v>
      </c>
      <c r="AF16" s="1574">
        <v>0</v>
      </c>
      <c r="AG16" s="1574">
        <v>0</v>
      </c>
      <c r="AH16" s="1574">
        <v>0</v>
      </c>
      <c r="AI16" s="1574">
        <v>0</v>
      </c>
      <c r="AJ16" s="1574">
        <v>0</v>
      </c>
      <c r="AK16" s="1574">
        <v>0</v>
      </c>
      <c r="AL16" s="1574">
        <v>0</v>
      </c>
      <c r="AM16" s="1574">
        <v>0</v>
      </c>
      <c r="AN16" s="1331">
        <f t="shared" si="4"/>
        <v>0</v>
      </c>
      <c r="AO16" s="1344">
        <v>0</v>
      </c>
      <c r="AP16" s="1334">
        <v>0</v>
      </c>
      <c r="AQ16" s="1334">
        <v>0</v>
      </c>
      <c r="AR16" s="1334">
        <v>0</v>
      </c>
      <c r="AS16" s="1334">
        <v>0</v>
      </c>
      <c r="AT16" s="1333">
        <v>1547</v>
      </c>
      <c r="AU16" s="1335">
        <f t="shared" si="3"/>
        <v>1547</v>
      </c>
      <c r="AV16" s="1339">
        <v>0</v>
      </c>
      <c r="AW16" s="1340">
        <v>0</v>
      </c>
      <c r="AX16" s="1341">
        <v>0</v>
      </c>
      <c r="AY16" s="1342">
        <v>0</v>
      </c>
      <c r="AZ16" s="1343">
        <v>1547</v>
      </c>
      <c r="BA16" s="1336">
        <v>6097</v>
      </c>
      <c r="BC16" s="1585"/>
      <c r="BD16" s="1585"/>
      <c r="BE16" s="1585"/>
      <c r="BF16" s="1585"/>
      <c r="BH16" s="1585"/>
      <c r="BI16" s="1585"/>
      <c r="BJ16" s="1585"/>
      <c r="BK16" s="1580"/>
      <c r="BL16" s="1580"/>
      <c r="BM16" s="1580"/>
    </row>
    <row r="17" spans="1:65" ht="20.100000000000001" customHeight="1">
      <c r="A17" s="1337">
        <v>5</v>
      </c>
      <c r="B17" s="1338" t="s">
        <v>47</v>
      </c>
      <c r="C17" s="1573">
        <v>100</v>
      </c>
      <c r="D17" s="1566">
        <v>0</v>
      </c>
      <c r="E17" s="1566">
        <v>120</v>
      </c>
      <c r="F17" s="1566">
        <v>92</v>
      </c>
      <c r="G17" s="1566">
        <v>0</v>
      </c>
      <c r="H17" s="1566">
        <v>0</v>
      </c>
      <c r="I17" s="1566">
        <v>0</v>
      </c>
      <c r="J17" s="1566">
        <v>0</v>
      </c>
      <c r="K17" s="1570">
        <v>50</v>
      </c>
      <c r="L17" s="1566">
        <v>0</v>
      </c>
      <c r="M17" s="1566">
        <v>60</v>
      </c>
      <c r="N17" s="1566">
        <v>0</v>
      </c>
      <c r="O17" s="1566">
        <v>0</v>
      </c>
      <c r="P17" s="1566">
        <v>0</v>
      </c>
      <c r="Q17" s="1566">
        <v>0</v>
      </c>
      <c r="R17" s="1566">
        <v>0</v>
      </c>
      <c r="S17" s="1333">
        <f t="shared" si="1"/>
        <v>150</v>
      </c>
      <c r="T17" s="1333">
        <f t="shared" si="0"/>
        <v>0</v>
      </c>
      <c r="U17" s="1333">
        <f t="shared" si="0"/>
        <v>180</v>
      </c>
      <c r="V17" s="1333">
        <f t="shared" si="0"/>
        <v>92</v>
      </c>
      <c r="W17" s="1333">
        <f t="shared" si="0"/>
        <v>0</v>
      </c>
      <c r="X17" s="1333">
        <f t="shared" si="0"/>
        <v>0</v>
      </c>
      <c r="Y17" s="1333">
        <f t="shared" si="0"/>
        <v>0</v>
      </c>
      <c r="Z17" s="1333">
        <f t="shared" si="0"/>
        <v>0</v>
      </c>
      <c r="AA17" s="1330">
        <f t="shared" si="2"/>
        <v>422</v>
      </c>
      <c r="AB17" s="1583">
        <v>9159.1</v>
      </c>
      <c r="AC17" s="1578">
        <v>427.4</v>
      </c>
      <c r="AD17" s="1574">
        <v>0</v>
      </c>
      <c r="AE17" s="1574">
        <v>215.7</v>
      </c>
      <c r="AF17" s="1574">
        <v>0</v>
      </c>
      <c r="AG17" s="1574">
        <v>398.3</v>
      </c>
      <c r="AH17" s="1574">
        <v>0</v>
      </c>
      <c r="AI17" s="1574">
        <v>338.7</v>
      </c>
      <c r="AJ17" s="1574">
        <v>0</v>
      </c>
      <c r="AK17" s="1574">
        <v>64.5</v>
      </c>
      <c r="AL17" s="1574">
        <v>146.1</v>
      </c>
      <c r="AM17" s="1574">
        <v>70</v>
      </c>
      <c r="AN17" s="1331">
        <f t="shared" si="4"/>
        <v>1660.6999999999998</v>
      </c>
      <c r="AO17" s="1332">
        <v>48</v>
      </c>
      <c r="AP17" s="1334">
        <v>0</v>
      </c>
      <c r="AQ17" s="1333">
        <v>10</v>
      </c>
      <c r="AR17" s="1333">
        <v>56</v>
      </c>
      <c r="AS17" s="1333">
        <v>0</v>
      </c>
      <c r="AT17" s="1334">
        <v>0</v>
      </c>
      <c r="AU17" s="1335">
        <f t="shared" si="3"/>
        <v>114</v>
      </c>
      <c r="AV17" s="1339">
        <v>1016</v>
      </c>
      <c r="AW17" s="1340">
        <v>0</v>
      </c>
      <c r="AX17" s="1341">
        <v>560</v>
      </c>
      <c r="AY17" s="1342">
        <v>506</v>
      </c>
      <c r="AZ17" s="1343">
        <v>70</v>
      </c>
      <c r="BA17" s="1336">
        <v>8386</v>
      </c>
      <c r="BC17" s="1585"/>
      <c r="BD17" s="1585"/>
      <c r="BE17" s="1585"/>
      <c r="BF17" s="1585"/>
      <c r="BH17" s="1585"/>
      <c r="BI17" s="1585"/>
      <c r="BJ17" s="1585"/>
      <c r="BK17" s="1580"/>
      <c r="BL17" s="1580"/>
      <c r="BM17" s="1580"/>
    </row>
    <row r="18" spans="1:65" ht="24.95" customHeight="1">
      <c r="A18" s="1337">
        <v>6</v>
      </c>
      <c r="B18" s="1338" t="s">
        <v>48</v>
      </c>
      <c r="C18" s="1573">
        <v>0</v>
      </c>
      <c r="D18" s="1566">
        <v>314</v>
      </c>
      <c r="E18" s="1566">
        <v>0</v>
      </c>
      <c r="F18" s="1566">
        <v>51</v>
      </c>
      <c r="G18" s="1566">
        <v>0</v>
      </c>
      <c r="H18" s="1566">
        <v>0</v>
      </c>
      <c r="I18" s="1566">
        <v>0</v>
      </c>
      <c r="J18" s="1566">
        <v>0</v>
      </c>
      <c r="K18" s="1570">
        <v>0</v>
      </c>
      <c r="L18" s="1566">
        <v>157</v>
      </c>
      <c r="M18" s="1566">
        <v>0</v>
      </c>
      <c r="N18" s="1566">
        <v>0</v>
      </c>
      <c r="O18" s="1566">
        <v>0</v>
      </c>
      <c r="P18" s="1566">
        <v>0</v>
      </c>
      <c r="Q18" s="1566">
        <v>0</v>
      </c>
      <c r="R18" s="1566">
        <v>0</v>
      </c>
      <c r="S18" s="1333">
        <f t="shared" si="1"/>
        <v>0</v>
      </c>
      <c r="T18" s="1333">
        <f t="shared" si="0"/>
        <v>471</v>
      </c>
      <c r="U18" s="1333">
        <f t="shared" si="0"/>
        <v>0</v>
      </c>
      <c r="V18" s="1333">
        <f t="shared" si="0"/>
        <v>51</v>
      </c>
      <c r="W18" s="1333">
        <f t="shared" si="0"/>
        <v>0</v>
      </c>
      <c r="X18" s="1333">
        <f t="shared" si="0"/>
        <v>0</v>
      </c>
      <c r="Y18" s="1333">
        <f t="shared" si="0"/>
        <v>0</v>
      </c>
      <c r="Z18" s="1333">
        <f t="shared" si="0"/>
        <v>0</v>
      </c>
      <c r="AA18" s="1330">
        <f t="shared" si="2"/>
        <v>522</v>
      </c>
      <c r="AB18" s="1583">
        <v>9652</v>
      </c>
      <c r="AC18" s="1578">
        <v>0</v>
      </c>
      <c r="AD18" s="1574">
        <v>0</v>
      </c>
      <c r="AE18" s="1574">
        <v>0</v>
      </c>
      <c r="AF18" s="1574">
        <v>0</v>
      </c>
      <c r="AG18" s="1574">
        <v>0</v>
      </c>
      <c r="AH18" s="1574">
        <v>0</v>
      </c>
      <c r="AI18" s="1574">
        <v>0</v>
      </c>
      <c r="AJ18" s="1574">
        <v>0</v>
      </c>
      <c r="AK18" s="1574">
        <v>0</v>
      </c>
      <c r="AL18" s="1574">
        <v>0</v>
      </c>
      <c r="AM18" s="1574">
        <v>97</v>
      </c>
      <c r="AN18" s="1331">
        <f t="shared" si="4"/>
        <v>97</v>
      </c>
      <c r="AO18" s="1344">
        <v>0</v>
      </c>
      <c r="AP18" s="1334">
        <v>0</v>
      </c>
      <c r="AQ18" s="1334">
        <v>0</v>
      </c>
      <c r="AR18" s="1334">
        <v>0</v>
      </c>
      <c r="AS18" s="1334">
        <v>0</v>
      </c>
      <c r="AT18" s="1333">
        <v>1378</v>
      </c>
      <c r="AU18" s="1335">
        <f t="shared" si="3"/>
        <v>1378</v>
      </c>
      <c r="AV18" s="1339">
        <v>0</v>
      </c>
      <c r="AW18" s="1340">
        <v>0</v>
      </c>
      <c r="AX18" s="1341">
        <v>0</v>
      </c>
      <c r="AY18" s="1342">
        <v>0</v>
      </c>
      <c r="AZ18" s="1343">
        <v>1475</v>
      </c>
      <c r="BA18" s="1336">
        <v>8485</v>
      </c>
      <c r="BC18" s="1585"/>
      <c r="BD18" s="1585"/>
      <c r="BE18" s="1585"/>
      <c r="BF18" s="1585"/>
      <c r="BH18" s="1585"/>
      <c r="BI18" s="1585"/>
      <c r="BJ18" s="1585"/>
      <c r="BK18" s="1580"/>
      <c r="BL18" s="1580"/>
      <c r="BM18" s="1580"/>
    </row>
    <row r="19" spans="1:65" ht="20.100000000000001" customHeight="1">
      <c r="A19" s="1337">
        <v>7</v>
      </c>
      <c r="B19" s="1338" t="s">
        <v>49</v>
      </c>
      <c r="C19" s="1573">
        <v>18</v>
      </c>
      <c r="D19" s="1566">
        <v>9</v>
      </c>
      <c r="E19" s="1566">
        <v>20</v>
      </c>
      <c r="F19" s="1566">
        <v>35</v>
      </c>
      <c r="G19" s="1566">
        <v>0</v>
      </c>
      <c r="H19" s="1566">
        <v>0</v>
      </c>
      <c r="I19" s="1566">
        <v>0</v>
      </c>
      <c r="J19" s="1566">
        <v>0</v>
      </c>
      <c r="K19" s="1570">
        <v>11</v>
      </c>
      <c r="L19" s="1566">
        <v>23</v>
      </c>
      <c r="M19" s="1566">
        <v>10</v>
      </c>
      <c r="N19" s="1566">
        <v>0</v>
      </c>
      <c r="O19" s="1566">
        <v>0</v>
      </c>
      <c r="P19" s="1566">
        <v>0</v>
      </c>
      <c r="Q19" s="1566">
        <v>0</v>
      </c>
      <c r="R19" s="1566">
        <v>0</v>
      </c>
      <c r="S19" s="1333">
        <f t="shared" si="1"/>
        <v>29</v>
      </c>
      <c r="T19" s="1333">
        <f t="shared" si="0"/>
        <v>32</v>
      </c>
      <c r="U19" s="1333">
        <f t="shared" si="0"/>
        <v>30</v>
      </c>
      <c r="V19" s="1333">
        <f t="shared" si="0"/>
        <v>35</v>
      </c>
      <c r="W19" s="1333">
        <f t="shared" si="0"/>
        <v>0</v>
      </c>
      <c r="X19" s="1333">
        <f t="shared" si="0"/>
        <v>0</v>
      </c>
      <c r="Y19" s="1333">
        <f t="shared" si="0"/>
        <v>0</v>
      </c>
      <c r="Z19" s="1333">
        <f t="shared" si="0"/>
        <v>0</v>
      </c>
      <c r="AA19" s="1330">
        <f t="shared" si="2"/>
        <v>126</v>
      </c>
      <c r="AB19" s="1583">
        <v>1164.4999999999998</v>
      </c>
      <c r="AC19" s="1578">
        <v>0</v>
      </c>
      <c r="AD19" s="1574">
        <v>0</v>
      </c>
      <c r="AE19" s="1574">
        <v>0</v>
      </c>
      <c r="AF19" s="1574">
        <v>0</v>
      </c>
      <c r="AG19" s="1574">
        <v>0</v>
      </c>
      <c r="AH19" s="1574">
        <v>0</v>
      </c>
      <c r="AI19" s="1574">
        <v>0</v>
      </c>
      <c r="AJ19" s="1574">
        <v>0</v>
      </c>
      <c r="AK19" s="1574">
        <v>0</v>
      </c>
      <c r="AL19" s="1574">
        <v>0</v>
      </c>
      <c r="AM19" s="1574">
        <v>0</v>
      </c>
      <c r="AN19" s="1331">
        <f t="shared" si="4"/>
        <v>0</v>
      </c>
      <c r="AO19" s="1345">
        <v>0</v>
      </c>
      <c r="AP19" s="1334">
        <v>0</v>
      </c>
      <c r="AQ19" s="1334">
        <v>0</v>
      </c>
      <c r="AR19" s="1334">
        <v>0</v>
      </c>
      <c r="AS19" s="1334">
        <v>0</v>
      </c>
      <c r="AT19" s="1334">
        <v>0</v>
      </c>
      <c r="AU19" s="1335">
        <f t="shared" si="3"/>
        <v>0</v>
      </c>
      <c r="AV19" s="1339">
        <v>0</v>
      </c>
      <c r="AW19" s="1340">
        <v>0</v>
      </c>
      <c r="AX19" s="1341">
        <v>0</v>
      </c>
      <c r="AY19" s="1342">
        <v>0</v>
      </c>
      <c r="AZ19" s="1343">
        <v>0</v>
      </c>
      <c r="BA19" s="1336">
        <v>1003</v>
      </c>
      <c r="BC19" s="1585"/>
      <c r="BD19" s="1585"/>
      <c r="BE19" s="1585"/>
      <c r="BF19" s="1585"/>
      <c r="BH19" s="1585"/>
      <c r="BI19" s="1585"/>
      <c r="BJ19" s="1585"/>
      <c r="BK19" s="1580"/>
      <c r="BL19" s="1580"/>
      <c r="BM19" s="1580"/>
    </row>
    <row r="20" spans="1:65" ht="20.100000000000001" customHeight="1">
      <c r="A20" s="1337">
        <v>8</v>
      </c>
      <c r="B20" s="1338" t="s">
        <v>50</v>
      </c>
      <c r="C20" s="1573">
        <v>306</v>
      </c>
      <c r="D20" s="1566">
        <v>28</v>
      </c>
      <c r="E20" s="1566">
        <v>50</v>
      </c>
      <c r="F20" s="1566">
        <v>124</v>
      </c>
      <c r="G20" s="1566">
        <v>69.8</v>
      </c>
      <c r="H20" s="1566">
        <v>0</v>
      </c>
      <c r="I20" s="1566">
        <v>0</v>
      </c>
      <c r="J20" s="1566">
        <v>0</v>
      </c>
      <c r="K20" s="1570">
        <v>150</v>
      </c>
      <c r="L20" s="1566">
        <v>8</v>
      </c>
      <c r="M20" s="1566">
        <v>25</v>
      </c>
      <c r="N20" s="1566">
        <v>0</v>
      </c>
      <c r="O20" s="1566">
        <v>25</v>
      </c>
      <c r="P20" s="1566">
        <v>0</v>
      </c>
      <c r="Q20" s="1566">
        <v>0</v>
      </c>
      <c r="R20" s="1566">
        <v>0</v>
      </c>
      <c r="S20" s="1333">
        <f t="shared" si="1"/>
        <v>456</v>
      </c>
      <c r="T20" s="1333">
        <f t="shared" si="0"/>
        <v>36</v>
      </c>
      <c r="U20" s="1333">
        <f t="shared" si="0"/>
        <v>75</v>
      </c>
      <c r="V20" s="1333">
        <f t="shared" si="0"/>
        <v>124</v>
      </c>
      <c r="W20" s="1333">
        <f t="shared" si="0"/>
        <v>94.8</v>
      </c>
      <c r="X20" s="1333">
        <f t="shared" si="0"/>
        <v>0</v>
      </c>
      <c r="Y20" s="1333">
        <f t="shared" si="0"/>
        <v>0</v>
      </c>
      <c r="Z20" s="1333">
        <f t="shared" si="0"/>
        <v>0</v>
      </c>
      <c r="AA20" s="1330">
        <f t="shared" si="2"/>
        <v>785.8</v>
      </c>
      <c r="AB20" s="1583">
        <v>12121.199999999999</v>
      </c>
      <c r="AC20" s="1578">
        <v>537.4</v>
      </c>
      <c r="AD20" s="1574">
        <v>261.60000000000002</v>
      </c>
      <c r="AE20" s="1574">
        <v>288</v>
      </c>
      <c r="AF20" s="1574">
        <v>53.1</v>
      </c>
      <c r="AG20" s="1574">
        <v>481.1</v>
      </c>
      <c r="AH20" s="1574">
        <v>0</v>
      </c>
      <c r="AI20" s="1574">
        <v>0</v>
      </c>
      <c r="AJ20" s="1574">
        <v>94.6</v>
      </c>
      <c r="AK20" s="1574">
        <v>69.099999999999994</v>
      </c>
      <c r="AL20" s="1574">
        <v>120.8</v>
      </c>
      <c r="AM20" s="1574">
        <v>76</v>
      </c>
      <c r="AN20" s="1331">
        <f t="shared" si="4"/>
        <v>1981.6999999999996</v>
      </c>
      <c r="AO20" s="1332">
        <v>81</v>
      </c>
      <c r="AP20" s="1333">
        <v>8.5999999999999659</v>
      </c>
      <c r="AQ20" s="1334">
        <v>0</v>
      </c>
      <c r="AR20" s="1333">
        <v>104</v>
      </c>
      <c r="AS20" s="1333">
        <v>63</v>
      </c>
      <c r="AT20" s="1334">
        <v>0</v>
      </c>
      <c r="AU20" s="1335">
        <f t="shared" si="3"/>
        <v>256.59999999999997</v>
      </c>
      <c r="AV20" s="1339">
        <v>1147</v>
      </c>
      <c r="AW20" s="1340">
        <v>372</v>
      </c>
      <c r="AX20" s="1341">
        <v>660</v>
      </c>
      <c r="AY20" s="1342">
        <v>284</v>
      </c>
      <c r="AZ20" s="1343">
        <v>76</v>
      </c>
      <c r="BA20" s="1336">
        <v>10984</v>
      </c>
      <c r="BC20" s="1585"/>
      <c r="BD20" s="1585"/>
      <c r="BE20" s="1585"/>
      <c r="BF20" s="1585"/>
      <c r="BH20" s="1585"/>
      <c r="BI20" s="1585"/>
      <c r="BJ20" s="1585"/>
      <c r="BK20" s="1580"/>
      <c r="BL20" s="1580"/>
      <c r="BM20" s="1580"/>
    </row>
    <row r="21" spans="1:65" ht="20.100000000000001" customHeight="1">
      <c r="A21" s="1337">
        <v>9</v>
      </c>
      <c r="B21" s="1338" t="s">
        <v>51</v>
      </c>
      <c r="C21" s="1573">
        <v>143</v>
      </c>
      <c r="D21" s="1566">
        <v>119.00000000000001</v>
      </c>
      <c r="E21" s="1566">
        <v>50</v>
      </c>
      <c r="F21" s="1566">
        <v>70</v>
      </c>
      <c r="G21" s="1566">
        <v>0</v>
      </c>
      <c r="H21" s="1566">
        <v>0</v>
      </c>
      <c r="I21" s="1566">
        <v>0</v>
      </c>
      <c r="J21" s="1566">
        <v>35</v>
      </c>
      <c r="K21" s="1570">
        <v>83</v>
      </c>
      <c r="L21" s="1566">
        <v>60</v>
      </c>
      <c r="M21" s="1566">
        <v>25</v>
      </c>
      <c r="N21" s="1566">
        <v>0</v>
      </c>
      <c r="O21" s="1566">
        <v>0</v>
      </c>
      <c r="P21" s="1566">
        <v>0</v>
      </c>
      <c r="Q21" s="1566">
        <v>0</v>
      </c>
      <c r="R21" s="1566">
        <v>12</v>
      </c>
      <c r="S21" s="1333">
        <f t="shared" si="1"/>
        <v>226</v>
      </c>
      <c r="T21" s="1333">
        <f t="shared" si="0"/>
        <v>179</v>
      </c>
      <c r="U21" s="1333">
        <f t="shared" si="0"/>
        <v>75</v>
      </c>
      <c r="V21" s="1333">
        <f t="shared" si="0"/>
        <v>70</v>
      </c>
      <c r="W21" s="1333">
        <f t="shared" si="0"/>
        <v>0</v>
      </c>
      <c r="X21" s="1333">
        <f t="shared" si="0"/>
        <v>0</v>
      </c>
      <c r="Y21" s="1333">
        <f t="shared" si="0"/>
        <v>0</v>
      </c>
      <c r="Z21" s="1333">
        <f t="shared" si="0"/>
        <v>47</v>
      </c>
      <c r="AA21" s="1330">
        <f t="shared" si="2"/>
        <v>597</v>
      </c>
      <c r="AB21" s="1583">
        <v>4754.2</v>
      </c>
      <c r="AC21" s="1578">
        <v>0</v>
      </c>
      <c r="AD21" s="1574">
        <v>0</v>
      </c>
      <c r="AE21" s="1574">
        <v>0</v>
      </c>
      <c r="AF21" s="1574">
        <v>0</v>
      </c>
      <c r="AG21" s="1574">
        <v>0</v>
      </c>
      <c r="AH21" s="1574">
        <v>0</v>
      </c>
      <c r="AI21" s="1574">
        <v>0</v>
      </c>
      <c r="AJ21" s="1574">
        <v>0</v>
      </c>
      <c r="AK21" s="1574">
        <v>0</v>
      </c>
      <c r="AL21" s="1574">
        <v>0</v>
      </c>
      <c r="AM21" s="1574">
        <v>0</v>
      </c>
      <c r="AN21" s="1331">
        <f t="shared" si="4"/>
        <v>0</v>
      </c>
      <c r="AO21" s="1345">
        <v>0</v>
      </c>
      <c r="AP21" s="1334">
        <v>0</v>
      </c>
      <c r="AQ21" s="1334">
        <v>0</v>
      </c>
      <c r="AR21" s="1334">
        <v>0</v>
      </c>
      <c r="AS21" s="1334">
        <v>0</v>
      </c>
      <c r="AT21" s="1334">
        <v>0</v>
      </c>
      <c r="AU21" s="1335">
        <f t="shared" si="3"/>
        <v>0</v>
      </c>
      <c r="AV21" s="1339">
        <v>0</v>
      </c>
      <c r="AW21" s="1340">
        <v>0</v>
      </c>
      <c r="AX21" s="1341">
        <v>0</v>
      </c>
      <c r="AY21" s="1342">
        <v>0</v>
      </c>
      <c r="AZ21" s="1343">
        <v>0</v>
      </c>
      <c r="BA21" s="1336">
        <v>4325</v>
      </c>
      <c r="BC21" s="1585"/>
      <c r="BD21" s="1585"/>
      <c r="BE21" s="1585"/>
      <c r="BF21" s="1585"/>
      <c r="BH21" s="1585"/>
      <c r="BI21" s="1585"/>
      <c r="BJ21" s="1585"/>
      <c r="BK21" s="1580"/>
      <c r="BL21" s="1580"/>
      <c r="BM21" s="1580"/>
    </row>
    <row r="22" spans="1:65" ht="20.100000000000001" customHeight="1">
      <c r="A22" s="1337">
        <v>10</v>
      </c>
      <c r="B22" s="1338" t="s">
        <v>104</v>
      </c>
      <c r="C22" s="1573">
        <v>0</v>
      </c>
      <c r="D22" s="1566">
        <v>0</v>
      </c>
      <c r="E22" s="1566">
        <v>0</v>
      </c>
      <c r="F22" s="1566">
        <v>0</v>
      </c>
      <c r="G22" s="1566">
        <v>0</v>
      </c>
      <c r="H22" s="1566">
        <v>0</v>
      </c>
      <c r="I22" s="1566">
        <v>0</v>
      </c>
      <c r="J22" s="1566">
        <v>0</v>
      </c>
      <c r="K22" s="1570">
        <v>0</v>
      </c>
      <c r="L22" s="1566">
        <v>0</v>
      </c>
      <c r="M22" s="1566">
        <v>0</v>
      </c>
      <c r="N22" s="1566">
        <v>0</v>
      </c>
      <c r="O22" s="1566">
        <v>0</v>
      </c>
      <c r="P22" s="1566">
        <v>0</v>
      </c>
      <c r="Q22" s="1566">
        <v>0</v>
      </c>
      <c r="R22" s="1566">
        <v>0</v>
      </c>
      <c r="S22" s="1333">
        <f t="shared" si="1"/>
        <v>0</v>
      </c>
      <c r="T22" s="1333">
        <f t="shared" si="0"/>
        <v>0</v>
      </c>
      <c r="U22" s="1333">
        <f t="shared" si="0"/>
        <v>0</v>
      </c>
      <c r="V22" s="1333">
        <f t="shared" si="0"/>
        <v>0</v>
      </c>
      <c r="W22" s="1333">
        <f t="shared" si="0"/>
        <v>0</v>
      </c>
      <c r="X22" s="1333">
        <f t="shared" si="0"/>
        <v>0</v>
      </c>
      <c r="Y22" s="1333">
        <f t="shared" si="0"/>
        <v>0</v>
      </c>
      <c r="Z22" s="1333">
        <f t="shared" si="0"/>
        <v>0</v>
      </c>
      <c r="AA22" s="1330">
        <f t="shared" si="2"/>
        <v>0</v>
      </c>
      <c r="AB22" s="1583">
        <v>5983.2</v>
      </c>
      <c r="AC22" s="1578">
        <v>0</v>
      </c>
      <c r="AD22" s="1574">
        <v>0</v>
      </c>
      <c r="AE22" s="1574">
        <v>0</v>
      </c>
      <c r="AF22" s="1574">
        <v>0</v>
      </c>
      <c r="AG22" s="1574">
        <v>0</v>
      </c>
      <c r="AH22" s="1574">
        <v>0</v>
      </c>
      <c r="AI22" s="1574">
        <v>0</v>
      </c>
      <c r="AJ22" s="1574">
        <v>0</v>
      </c>
      <c r="AK22" s="1574">
        <v>0</v>
      </c>
      <c r="AL22" s="1574">
        <v>0</v>
      </c>
      <c r="AM22" s="1574">
        <v>0</v>
      </c>
      <c r="AN22" s="1331">
        <f t="shared" si="4"/>
        <v>0</v>
      </c>
      <c r="AO22" s="1345">
        <v>0</v>
      </c>
      <c r="AP22" s="1334">
        <v>0</v>
      </c>
      <c r="AQ22" s="1334">
        <v>0</v>
      </c>
      <c r="AR22" s="1333">
        <v>60</v>
      </c>
      <c r="AS22" s="1334">
        <v>8</v>
      </c>
      <c r="AT22" s="1334">
        <v>0</v>
      </c>
      <c r="AU22" s="1335">
        <f t="shared" si="3"/>
        <v>68</v>
      </c>
      <c r="AV22" s="1339">
        <v>0</v>
      </c>
      <c r="AW22" s="1340">
        <v>0</v>
      </c>
      <c r="AX22" s="1341">
        <v>60</v>
      </c>
      <c r="AY22" s="1342">
        <v>8</v>
      </c>
      <c r="AZ22" s="1343">
        <v>0</v>
      </c>
      <c r="BA22" s="1336">
        <v>6245</v>
      </c>
      <c r="BC22" s="1585"/>
      <c r="BD22" s="1585"/>
      <c r="BE22" s="1585"/>
      <c r="BF22" s="1585"/>
      <c r="BH22" s="1585"/>
      <c r="BI22" s="1585"/>
      <c r="BJ22" s="1585"/>
      <c r="BK22" s="1580"/>
      <c r="BL22" s="1580"/>
      <c r="BM22" s="1580"/>
    </row>
    <row r="23" spans="1:65" ht="24.95" customHeight="1">
      <c r="A23" s="1337">
        <v>11</v>
      </c>
      <c r="B23" s="1338" t="s">
        <v>105</v>
      </c>
      <c r="C23" s="1573">
        <v>0</v>
      </c>
      <c r="D23" s="1566">
        <v>120</v>
      </c>
      <c r="E23" s="1566">
        <v>40</v>
      </c>
      <c r="F23" s="1566">
        <v>0</v>
      </c>
      <c r="G23" s="1566">
        <v>0</v>
      </c>
      <c r="H23" s="1566">
        <v>0</v>
      </c>
      <c r="I23" s="1566">
        <v>0</v>
      </c>
      <c r="J23" s="1566">
        <v>0</v>
      </c>
      <c r="K23" s="1570">
        <v>0</v>
      </c>
      <c r="L23" s="1566">
        <v>60</v>
      </c>
      <c r="M23" s="1566">
        <v>20</v>
      </c>
      <c r="N23" s="1566">
        <v>18</v>
      </c>
      <c r="O23" s="1566">
        <v>0</v>
      </c>
      <c r="P23" s="1566">
        <v>0</v>
      </c>
      <c r="Q23" s="1566">
        <v>0</v>
      </c>
      <c r="R23" s="1566">
        <v>0</v>
      </c>
      <c r="S23" s="1333">
        <f t="shared" si="1"/>
        <v>0</v>
      </c>
      <c r="T23" s="1333">
        <f t="shared" si="0"/>
        <v>180</v>
      </c>
      <c r="U23" s="1333">
        <f t="shared" si="0"/>
        <v>60</v>
      </c>
      <c r="V23" s="1333">
        <f t="shared" si="0"/>
        <v>18</v>
      </c>
      <c r="W23" s="1333">
        <f t="shared" si="0"/>
        <v>0</v>
      </c>
      <c r="X23" s="1333">
        <f t="shared" si="0"/>
        <v>0</v>
      </c>
      <c r="Y23" s="1333">
        <f t="shared" si="0"/>
        <v>0</v>
      </c>
      <c r="Z23" s="1333">
        <f t="shared" si="0"/>
        <v>0</v>
      </c>
      <c r="AA23" s="1330">
        <f t="shared" si="2"/>
        <v>258</v>
      </c>
      <c r="AB23" s="1583">
        <v>4030.5999999999995</v>
      </c>
      <c r="AC23" s="1578">
        <v>0</v>
      </c>
      <c r="AD23" s="1574">
        <v>0</v>
      </c>
      <c r="AE23" s="1574">
        <v>0</v>
      </c>
      <c r="AF23" s="1574">
        <v>0</v>
      </c>
      <c r="AG23" s="1574">
        <v>0</v>
      </c>
      <c r="AH23" s="1574">
        <v>0</v>
      </c>
      <c r="AI23" s="1574">
        <v>0</v>
      </c>
      <c r="AJ23" s="1574">
        <v>0</v>
      </c>
      <c r="AK23" s="1574">
        <v>0</v>
      </c>
      <c r="AL23" s="1574">
        <v>0</v>
      </c>
      <c r="AM23" s="1574">
        <v>0</v>
      </c>
      <c r="AN23" s="1331">
        <f t="shared" si="4"/>
        <v>0</v>
      </c>
      <c r="AO23" s="1345">
        <v>0</v>
      </c>
      <c r="AP23" s="1334">
        <v>0</v>
      </c>
      <c r="AQ23" s="1334">
        <v>0</v>
      </c>
      <c r="AR23" s="1334">
        <v>0</v>
      </c>
      <c r="AS23" s="1334">
        <v>0</v>
      </c>
      <c r="AT23" s="1334">
        <v>0</v>
      </c>
      <c r="AU23" s="1335">
        <f t="shared" si="3"/>
        <v>0</v>
      </c>
      <c r="AV23" s="1339">
        <v>0</v>
      </c>
      <c r="AW23" s="1340">
        <v>0</v>
      </c>
      <c r="AX23" s="1341">
        <v>0</v>
      </c>
      <c r="AY23" s="1342">
        <v>0</v>
      </c>
      <c r="AZ23" s="1343">
        <v>0</v>
      </c>
      <c r="BA23" s="1336">
        <v>0</v>
      </c>
      <c r="BC23" s="1585"/>
      <c r="BD23" s="1585"/>
      <c r="BE23" s="1585"/>
      <c r="BF23" s="1585"/>
      <c r="BH23" s="1585"/>
      <c r="BI23" s="1585"/>
      <c r="BJ23" s="1585"/>
      <c r="BK23" s="1580"/>
      <c r="BL23" s="1580"/>
      <c r="BM23" s="1580"/>
    </row>
    <row r="24" spans="1:65" ht="20.100000000000001" customHeight="1">
      <c r="A24" s="1337">
        <v>12</v>
      </c>
      <c r="B24" s="1338" t="s">
        <v>58</v>
      </c>
      <c r="C24" s="1573">
        <v>0</v>
      </c>
      <c r="D24" s="1566">
        <v>125.00000000000001</v>
      </c>
      <c r="E24" s="1566">
        <v>0</v>
      </c>
      <c r="F24" s="1566">
        <v>27</v>
      </c>
      <c r="G24" s="1566">
        <v>0</v>
      </c>
      <c r="H24" s="1566">
        <v>70</v>
      </c>
      <c r="I24" s="1566">
        <v>0</v>
      </c>
      <c r="J24" s="1566">
        <v>0</v>
      </c>
      <c r="K24" s="1570">
        <v>0</v>
      </c>
      <c r="L24" s="1566">
        <v>70</v>
      </c>
      <c r="M24" s="1566">
        <v>0</v>
      </c>
      <c r="N24" s="1566">
        <v>0</v>
      </c>
      <c r="O24" s="1566">
        <v>0</v>
      </c>
      <c r="P24" s="1566">
        <v>80</v>
      </c>
      <c r="Q24" s="1566">
        <v>0</v>
      </c>
      <c r="R24" s="1566">
        <v>0</v>
      </c>
      <c r="S24" s="1333">
        <f t="shared" si="1"/>
        <v>0</v>
      </c>
      <c r="T24" s="1333">
        <f t="shared" si="0"/>
        <v>195</v>
      </c>
      <c r="U24" s="1333">
        <f t="shared" si="0"/>
        <v>0</v>
      </c>
      <c r="V24" s="1333">
        <f t="shared" si="0"/>
        <v>27</v>
      </c>
      <c r="W24" s="1333">
        <f t="shared" si="0"/>
        <v>0</v>
      </c>
      <c r="X24" s="1333">
        <f t="shared" si="0"/>
        <v>150</v>
      </c>
      <c r="Y24" s="1333">
        <f t="shared" si="0"/>
        <v>0</v>
      </c>
      <c r="Z24" s="1333">
        <f t="shared" si="0"/>
        <v>0</v>
      </c>
      <c r="AA24" s="1330">
        <f t="shared" si="2"/>
        <v>372</v>
      </c>
      <c r="AB24" s="1583">
        <v>2303.5</v>
      </c>
      <c r="AC24" s="1578">
        <v>0</v>
      </c>
      <c r="AD24" s="1574">
        <v>0</v>
      </c>
      <c r="AE24" s="1574">
        <v>0</v>
      </c>
      <c r="AF24" s="1574">
        <v>0</v>
      </c>
      <c r="AG24" s="1574">
        <v>0</v>
      </c>
      <c r="AH24" s="1574">
        <v>0</v>
      </c>
      <c r="AI24" s="1574">
        <v>0</v>
      </c>
      <c r="AJ24" s="1574">
        <v>0</v>
      </c>
      <c r="AK24" s="1574">
        <v>0</v>
      </c>
      <c r="AL24" s="1574">
        <v>0</v>
      </c>
      <c r="AM24" s="1574">
        <v>71</v>
      </c>
      <c r="AN24" s="1331">
        <f t="shared" si="4"/>
        <v>71</v>
      </c>
      <c r="AO24" s="1345">
        <v>0</v>
      </c>
      <c r="AP24" s="1334">
        <v>0</v>
      </c>
      <c r="AQ24" s="1334">
        <v>0</v>
      </c>
      <c r="AR24" s="1334">
        <v>0</v>
      </c>
      <c r="AS24" s="1334">
        <v>0</v>
      </c>
      <c r="AT24" s="1334">
        <v>0</v>
      </c>
      <c r="AU24" s="1335">
        <f t="shared" si="3"/>
        <v>0</v>
      </c>
      <c r="AV24" s="1339">
        <v>0</v>
      </c>
      <c r="AW24" s="1340">
        <v>0</v>
      </c>
      <c r="AX24" s="1341">
        <v>0</v>
      </c>
      <c r="AY24" s="1342">
        <v>0</v>
      </c>
      <c r="AZ24" s="1343">
        <v>71</v>
      </c>
      <c r="BA24" s="1336">
        <v>2366</v>
      </c>
      <c r="BC24" s="1585"/>
      <c r="BD24" s="1585"/>
      <c r="BE24" s="1585"/>
      <c r="BF24" s="1585"/>
      <c r="BH24" s="1585"/>
      <c r="BI24" s="1585"/>
      <c r="BJ24" s="1585"/>
      <c r="BK24" s="1580"/>
      <c r="BL24" s="1580"/>
      <c r="BM24" s="1580"/>
    </row>
    <row r="25" spans="1:65" ht="20.100000000000001" customHeight="1">
      <c r="A25" s="1337">
        <v>13</v>
      </c>
      <c r="B25" s="1338" t="s">
        <v>52</v>
      </c>
      <c r="C25" s="1573">
        <v>0</v>
      </c>
      <c r="D25" s="1566">
        <v>150</v>
      </c>
      <c r="E25" s="1566">
        <v>40</v>
      </c>
      <c r="F25" s="1566">
        <v>50</v>
      </c>
      <c r="G25" s="1566">
        <v>0</v>
      </c>
      <c r="H25" s="1566">
        <v>70</v>
      </c>
      <c r="I25" s="1566">
        <v>0</v>
      </c>
      <c r="J25" s="1566">
        <v>0</v>
      </c>
      <c r="K25" s="1570">
        <v>0</v>
      </c>
      <c r="L25" s="1566">
        <v>75</v>
      </c>
      <c r="M25" s="1566">
        <v>20</v>
      </c>
      <c r="N25" s="1566">
        <v>0</v>
      </c>
      <c r="O25" s="1566">
        <v>0</v>
      </c>
      <c r="P25" s="1566">
        <v>0</v>
      </c>
      <c r="Q25" s="1566">
        <v>0</v>
      </c>
      <c r="R25" s="1566">
        <v>0</v>
      </c>
      <c r="S25" s="1333">
        <f t="shared" si="1"/>
        <v>0</v>
      </c>
      <c r="T25" s="1333">
        <f t="shared" si="0"/>
        <v>225</v>
      </c>
      <c r="U25" s="1333">
        <f t="shared" si="0"/>
        <v>60</v>
      </c>
      <c r="V25" s="1333">
        <f t="shared" si="0"/>
        <v>50</v>
      </c>
      <c r="W25" s="1333">
        <f t="shared" si="0"/>
        <v>0</v>
      </c>
      <c r="X25" s="1333">
        <f t="shared" si="0"/>
        <v>70</v>
      </c>
      <c r="Y25" s="1333">
        <f t="shared" si="0"/>
        <v>0</v>
      </c>
      <c r="Z25" s="1333">
        <f t="shared" si="0"/>
        <v>0</v>
      </c>
      <c r="AA25" s="1330">
        <f t="shared" si="2"/>
        <v>405</v>
      </c>
      <c r="AB25" s="1583">
        <v>6232.9999999999991</v>
      </c>
      <c r="AC25" s="1578">
        <v>0</v>
      </c>
      <c r="AD25" s="1574">
        <v>0</v>
      </c>
      <c r="AE25" s="1574">
        <v>0</v>
      </c>
      <c r="AF25" s="1574">
        <v>0</v>
      </c>
      <c r="AG25" s="1574">
        <v>0</v>
      </c>
      <c r="AH25" s="1574">
        <v>0</v>
      </c>
      <c r="AI25" s="1574">
        <v>0</v>
      </c>
      <c r="AJ25" s="1574">
        <v>0</v>
      </c>
      <c r="AK25" s="1574">
        <v>0</v>
      </c>
      <c r="AL25" s="1574">
        <v>0</v>
      </c>
      <c r="AM25" s="1574">
        <v>66</v>
      </c>
      <c r="AN25" s="1331">
        <f t="shared" si="4"/>
        <v>66</v>
      </c>
      <c r="AO25" s="1345">
        <v>0</v>
      </c>
      <c r="AP25" s="1334">
        <v>0</v>
      </c>
      <c r="AQ25" s="1334">
        <v>0</v>
      </c>
      <c r="AR25" s="1334">
        <v>0</v>
      </c>
      <c r="AS25" s="1334">
        <v>0</v>
      </c>
      <c r="AT25" s="1333">
        <v>759</v>
      </c>
      <c r="AU25" s="1335">
        <f t="shared" si="3"/>
        <v>759</v>
      </c>
      <c r="AV25" s="1339">
        <v>0</v>
      </c>
      <c r="AW25" s="1340">
        <v>0</v>
      </c>
      <c r="AX25" s="1341">
        <v>0</v>
      </c>
      <c r="AY25" s="1342">
        <v>0</v>
      </c>
      <c r="AZ25" s="1343">
        <v>825</v>
      </c>
      <c r="BA25" s="1336">
        <v>5648</v>
      </c>
      <c r="BC25" s="1585"/>
      <c r="BD25" s="1585"/>
      <c r="BE25" s="1585"/>
      <c r="BF25" s="1585"/>
      <c r="BH25" s="1585"/>
      <c r="BI25" s="1585"/>
      <c r="BJ25" s="1585"/>
      <c r="BK25" s="1580"/>
      <c r="BL25" s="1580"/>
      <c r="BM25" s="1580"/>
    </row>
    <row r="26" spans="1:65" ht="20.100000000000001" customHeight="1">
      <c r="A26" s="1337">
        <v>14</v>
      </c>
      <c r="B26" s="1346" t="s">
        <v>106</v>
      </c>
      <c r="C26" s="1573">
        <v>5</v>
      </c>
      <c r="D26" s="1566">
        <v>0</v>
      </c>
      <c r="E26" s="1566">
        <v>0</v>
      </c>
      <c r="F26" s="1566">
        <v>24</v>
      </c>
      <c r="G26" s="1566">
        <v>0</v>
      </c>
      <c r="H26" s="1566">
        <v>0</v>
      </c>
      <c r="I26" s="1566">
        <v>0</v>
      </c>
      <c r="J26" s="1566">
        <v>0</v>
      </c>
      <c r="K26" s="1570">
        <v>5</v>
      </c>
      <c r="L26" s="1566">
        <v>0</v>
      </c>
      <c r="M26" s="1566">
        <v>0</v>
      </c>
      <c r="N26" s="1566">
        <v>-10</v>
      </c>
      <c r="O26" s="1566">
        <v>0</v>
      </c>
      <c r="P26" s="1566">
        <v>0</v>
      </c>
      <c r="Q26" s="1566">
        <v>0</v>
      </c>
      <c r="R26" s="1566">
        <v>0</v>
      </c>
      <c r="S26" s="1333">
        <f t="shared" si="1"/>
        <v>10</v>
      </c>
      <c r="T26" s="1333">
        <f t="shared" si="0"/>
        <v>0</v>
      </c>
      <c r="U26" s="1333">
        <f t="shared" si="0"/>
        <v>0</v>
      </c>
      <c r="V26" s="1333">
        <f t="shared" si="0"/>
        <v>14</v>
      </c>
      <c r="W26" s="1333">
        <f t="shared" si="0"/>
        <v>0</v>
      </c>
      <c r="X26" s="1333">
        <f t="shared" si="0"/>
        <v>0</v>
      </c>
      <c r="Y26" s="1333">
        <f t="shared" si="0"/>
        <v>0</v>
      </c>
      <c r="Z26" s="1333">
        <f t="shared" si="0"/>
        <v>0</v>
      </c>
      <c r="AA26" s="1330">
        <f t="shared" si="2"/>
        <v>24</v>
      </c>
      <c r="AB26" s="1583">
        <v>505.00000000000006</v>
      </c>
      <c r="AC26" s="1578">
        <v>0</v>
      </c>
      <c r="AD26" s="1574">
        <v>0</v>
      </c>
      <c r="AE26" s="1574">
        <v>0</v>
      </c>
      <c r="AF26" s="1574">
        <v>0</v>
      </c>
      <c r="AG26" s="1574">
        <v>0</v>
      </c>
      <c r="AH26" s="1574">
        <v>96.5</v>
      </c>
      <c r="AI26" s="1574">
        <v>0</v>
      </c>
      <c r="AJ26" s="1574">
        <v>0</v>
      </c>
      <c r="AK26" s="1574">
        <v>0</v>
      </c>
      <c r="AL26" s="1574">
        <v>0</v>
      </c>
      <c r="AM26" s="1574">
        <v>0</v>
      </c>
      <c r="AN26" s="1331">
        <f t="shared" si="4"/>
        <v>96.5</v>
      </c>
      <c r="AO26" s="1345">
        <v>0</v>
      </c>
      <c r="AP26" s="1334">
        <v>0</v>
      </c>
      <c r="AQ26" s="1334">
        <v>0</v>
      </c>
      <c r="AR26" s="1334">
        <v>0</v>
      </c>
      <c r="AS26" s="1334">
        <v>0</v>
      </c>
      <c r="AT26" s="1334">
        <v>0</v>
      </c>
      <c r="AU26" s="1335">
        <f t="shared" si="3"/>
        <v>0</v>
      </c>
      <c r="AV26" s="1339">
        <v>0</v>
      </c>
      <c r="AW26" s="1340">
        <v>0</v>
      </c>
      <c r="AX26" s="1341">
        <v>0</v>
      </c>
      <c r="AY26" s="1342">
        <v>99</v>
      </c>
      <c r="AZ26" s="1343">
        <v>0</v>
      </c>
      <c r="BA26" s="1336">
        <v>432</v>
      </c>
      <c r="BC26" s="1585"/>
      <c r="BD26" s="1585"/>
      <c r="BE26" s="1585"/>
      <c r="BF26" s="1585"/>
      <c r="BH26" s="1585"/>
      <c r="BI26" s="1585"/>
      <c r="BJ26" s="1585"/>
      <c r="BK26" s="1580"/>
      <c r="BL26" s="1580"/>
      <c r="BM26" s="1580"/>
    </row>
    <row r="27" spans="1:65" ht="20.100000000000001" customHeight="1">
      <c r="A27" s="1337">
        <v>15</v>
      </c>
      <c r="B27" s="1338" t="s">
        <v>196</v>
      </c>
      <c r="C27" s="1573">
        <v>0</v>
      </c>
      <c r="D27" s="1566">
        <v>100</v>
      </c>
      <c r="E27" s="1566">
        <v>0</v>
      </c>
      <c r="F27" s="1566">
        <v>6</v>
      </c>
      <c r="G27" s="1566">
        <v>0</v>
      </c>
      <c r="H27" s="1566">
        <v>0</v>
      </c>
      <c r="I27" s="1566">
        <v>0</v>
      </c>
      <c r="J27" s="1566">
        <v>0</v>
      </c>
      <c r="K27" s="1570">
        <v>0</v>
      </c>
      <c r="L27" s="1566">
        <v>50</v>
      </c>
      <c r="M27" s="1566">
        <v>0</v>
      </c>
      <c r="N27" s="1566">
        <v>0</v>
      </c>
      <c r="O27" s="1566">
        <v>0</v>
      </c>
      <c r="P27" s="1566">
        <v>0</v>
      </c>
      <c r="Q27" s="1566">
        <v>0</v>
      </c>
      <c r="R27" s="1566">
        <v>0</v>
      </c>
      <c r="S27" s="1333">
        <f t="shared" si="1"/>
        <v>0</v>
      </c>
      <c r="T27" s="1333">
        <f t="shared" si="0"/>
        <v>150</v>
      </c>
      <c r="U27" s="1333">
        <f t="shared" si="0"/>
        <v>0</v>
      </c>
      <c r="V27" s="1333">
        <f t="shared" si="0"/>
        <v>6</v>
      </c>
      <c r="W27" s="1333">
        <f t="shared" si="0"/>
        <v>0</v>
      </c>
      <c r="X27" s="1333">
        <f t="shared" si="0"/>
        <v>0</v>
      </c>
      <c r="Y27" s="1333">
        <f t="shared" si="0"/>
        <v>0</v>
      </c>
      <c r="Z27" s="1333">
        <f t="shared" si="0"/>
        <v>0</v>
      </c>
      <c r="AA27" s="1330">
        <f t="shared" si="2"/>
        <v>156</v>
      </c>
      <c r="AB27" s="1583">
        <v>1525.9999999999998</v>
      </c>
      <c r="AC27" s="1578">
        <v>0</v>
      </c>
      <c r="AD27" s="1574">
        <v>0</v>
      </c>
      <c r="AE27" s="1574">
        <v>0</v>
      </c>
      <c r="AF27" s="1574">
        <v>0</v>
      </c>
      <c r="AG27" s="1574">
        <v>0</v>
      </c>
      <c r="AH27" s="1574">
        <v>0</v>
      </c>
      <c r="AI27" s="1574">
        <v>0</v>
      </c>
      <c r="AJ27" s="1574">
        <v>0</v>
      </c>
      <c r="AK27" s="1574">
        <v>0</v>
      </c>
      <c r="AL27" s="1574">
        <v>0</v>
      </c>
      <c r="AM27" s="1574">
        <v>0</v>
      </c>
      <c r="AN27" s="1331">
        <f t="shared" si="4"/>
        <v>0</v>
      </c>
      <c r="AO27" s="1345">
        <v>0</v>
      </c>
      <c r="AP27" s="1334">
        <v>0</v>
      </c>
      <c r="AQ27" s="1334">
        <v>0</v>
      </c>
      <c r="AR27" s="1334">
        <v>0</v>
      </c>
      <c r="AS27" s="1334">
        <v>0</v>
      </c>
      <c r="AT27" s="1334">
        <v>0</v>
      </c>
      <c r="AU27" s="1335">
        <f t="shared" si="3"/>
        <v>0</v>
      </c>
      <c r="AV27" s="1339">
        <v>0</v>
      </c>
      <c r="AW27" s="1340">
        <v>0</v>
      </c>
      <c r="AX27" s="1341">
        <v>0</v>
      </c>
      <c r="AY27" s="1342">
        <v>0</v>
      </c>
      <c r="AZ27" s="1343">
        <v>0</v>
      </c>
      <c r="BA27" s="1336">
        <v>1497</v>
      </c>
      <c r="BC27" s="1585"/>
      <c r="BD27" s="1585"/>
      <c r="BE27" s="1585"/>
      <c r="BF27" s="1585"/>
      <c r="BH27" s="1585"/>
      <c r="BI27" s="1585"/>
      <c r="BJ27" s="1585"/>
      <c r="BK27" s="1580"/>
      <c r="BL27" s="1580"/>
      <c r="BM27" s="1580"/>
    </row>
    <row r="28" spans="1:65" ht="24.95" customHeight="1">
      <c r="A28" s="1337">
        <v>16</v>
      </c>
      <c r="B28" s="1338" t="s">
        <v>53</v>
      </c>
      <c r="C28" s="1573">
        <v>40</v>
      </c>
      <c r="D28" s="1566">
        <v>0</v>
      </c>
      <c r="E28" s="1566">
        <v>100</v>
      </c>
      <c r="F28" s="1566">
        <v>27</v>
      </c>
      <c r="G28" s="1566">
        <v>0</v>
      </c>
      <c r="H28" s="1566">
        <v>0</v>
      </c>
      <c r="I28" s="1566">
        <v>0</v>
      </c>
      <c r="J28" s="1566">
        <v>0</v>
      </c>
      <c r="K28" s="1570">
        <v>20</v>
      </c>
      <c r="L28" s="1566">
        <v>0</v>
      </c>
      <c r="M28" s="1566">
        <v>50</v>
      </c>
      <c r="N28" s="1566">
        <v>0</v>
      </c>
      <c r="O28" s="1566">
        <v>0</v>
      </c>
      <c r="P28" s="1566">
        <v>0</v>
      </c>
      <c r="Q28" s="1566">
        <v>0</v>
      </c>
      <c r="R28" s="1566">
        <v>0</v>
      </c>
      <c r="S28" s="1333">
        <f t="shared" si="1"/>
        <v>60</v>
      </c>
      <c r="T28" s="1333">
        <f t="shared" si="0"/>
        <v>0</v>
      </c>
      <c r="U28" s="1333">
        <f t="shared" si="0"/>
        <v>150</v>
      </c>
      <c r="V28" s="1333">
        <f t="shared" si="0"/>
        <v>27</v>
      </c>
      <c r="W28" s="1333">
        <f t="shared" si="0"/>
        <v>0</v>
      </c>
      <c r="X28" s="1333">
        <f t="shared" si="0"/>
        <v>0</v>
      </c>
      <c r="Y28" s="1333">
        <f t="shared" si="0"/>
        <v>0</v>
      </c>
      <c r="Z28" s="1333">
        <f t="shared" si="0"/>
        <v>0</v>
      </c>
      <c r="AA28" s="1330">
        <f t="shared" si="2"/>
        <v>237</v>
      </c>
      <c r="AB28" s="1583">
        <v>2591</v>
      </c>
      <c r="AC28" s="1578">
        <v>0</v>
      </c>
      <c r="AD28" s="1574">
        <v>0</v>
      </c>
      <c r="AE28" s="1574">
        <v>179.5</v>
      </c>
      <c r="AF28" s="1574">
        <v>0</v>
      </c>
      <c r="AG28" s="1574">
        <v>0</v>
      </c>
      <c r="AH28" s="1574">
        <v>0</v>
      </c>
      <c r="AI28" s="1574">
        <v>0</v>
      </c>
      <c r="AJ28" s="1574">
        <v>0</v>
      </c>
      <c r="AK28" s="1574">
        <v>0</v>
      </c>
      <c r="AL28" s="1574">
        <v>0</v>
      </c>
      <c r="AM28" s="1574">
        <v>0</v>
      </c>
      <c r="AN28" s="1331">
        <f t="shared" si="4"/>
        <v>179.5</v>
      </c>
      <c r="AO28" s="1345">
        <v>0</v>
      </c>
      <c r="AP28" s="1334">
        <v>0</v>
      </c>
      <c r="AQ28" s="1334">
        <v>0</v>
      </c>
      <c r="AR28" s="1334">
        <v>0</v>
      </c>
      <c r="AS28" s="1334">
        <v>0</v>
      </c>
      <c r="AT28" s="1334">
        <v>0</v>
      </c>
      <c r="AU28" s="1335">
        <f t="shared" si="3"/>
        <v>0</v>
      </c>
      <c r="AV28" s="1339">
        <v>289</v>
      </c>
      <c r="AW28" s="1340">
        <v>0</v>
      </c>
      <c r="AX28" s="1341">
        <v>0</v>
      </c>
      <c r="AY28" s="1342">
        <v>0</v>
      </c>
      <c r="AZ28" s="1343">
        <v>0</v>
      </c>
      <c r="BA28" s="1336">
        <v>2515</v>
      </c>
      <c r="BC28" s="1585"/>
      <c r="BD28" s="1585"/>
      <c r="BE28" s="1585"/>
      <c r="BF28" s="1585"/>
      <c r="BH28" s="1585"/>
      <c r="BI28" s="1585"/>
      <c r="BJ28" s="1585"/>
      <c r="BK28" s="1580"/>
      <c r="BL28" s="1580"/>
      <c r="BM28" s="1580"/>
    </row>
    <row r="29" spans="1:65" ht="20.100000000000001" customHeight="1">
      <c r="A29" s="1337">
        <v>17</v>
      </c>
      <c r="B29" s="1338" t="s">
        <v>54</v>
      </c>
      <c r="C29" s="1573">
        <v>273</v>
      </c>
      <c r="D29" s="1566">
        <v>158</v>
      </c>
      <c r="E29" s="1566">
        <v>0</v>
      </c>
      <c r="F29" s="1566">
        <v>42</v>
      </c>
      <c r="G29" s="1566">
        <v>0</v>
      </c>
      <c r="H29" s="1566">
        <v>0</v>
      </c>
      <c r="I29" s="1566">
        <v>0</v>
      </c>
      <c r="J29" s="1566">
        <v>0</v>
      </c>
      <c r="K29" s="1570">
        <v>148</v>
      </c>
      <c r="L29" s="1566">
        <v>103</v>
      </c>
      <c r="M29" s="1566">
        <v>0</v>
      </c>
      <c r="N29" s="1566">
        <v>0</v>
      </c>
      <c r="O29" s="1566">
        <v>0</v>
      </c>
      <c r="P29" s="1566">
        <v>0</v>
      </c>
      <c r="Q29" s="1566">
        <v>0</v>
      </c>
      <c r="R29" s="1566">
        <v>0</v>
      </c>
      <c r="S29" s="1333">
        <f t="shared" si="1"/>
        <v>421</v>
      </c>
      <c r="T29" s="1333">
        <f t="shared" ref="T29:T31" si="5">D29+L29</f>
        <v>261</v>
      </c>
      <c r="U29" s="1333">
        <f t="shared" ref="U29:U31" si="6">E29+M29</f>
        <v>0</v>
      </c>
      <c r="V29" s="1333">
        <f t="shared" ref="V29:V31" si="7">F29+N29</f>
        <v>42</v>
      </c>
      <c r="W29" s="1333">
        <f t="shared" ref="W29:W31" si="8">G29+O29</f>
        <v>0</v>
      </c>
      <c r="X29" s="1333">
        <f t="shared" ref="X29:X31" si="9">H29+P29</f>
        <v>0</v>
      </c>
      <c r="Y29" s="1333">
        <f t="shared" ref="Y29:Y31" si="10">I29+Q29</f>
        <v>0</v>
      </c>
      <c r="Z29" s="1333">
        <f t="shared" ref="Z29:Z31" si="11">J29+R29</f>
        <v>0</v>
      </c>
      <c r="AA29" s="1330">
        <f t="shared" si="2"/>
        <v>724</v>
      </c>
      <c r="AB29" s="1583">
        <v>5075</v>
      </c>
      <c r="AC29" s="1578">
        <v>0</v>
      </c>
      <c r="AD29" s="1574">
        <v>0</v>
      </c>
      <c r="AE29" s="1574">
        <v>0</v>
      </c>
      <c r="AF29" s="1574">
        <v>0</v>
      </c>
      <c r="AG29" s="1574">
        <v>142.1</v>
      </c>
      <c r="AH29" s="1574">
        <v>0</v>
      </c>
      <c r="AI29" s="1574">
        <v>0</v>
      </c>
      <c r="AJ29" s="1574">
        <v>0</v>
      </c>
      <c r="AK29" s="1574">
        <v>0</v>
      </c>
      <c r="AL29" s="1574">
        <v>0</v>
      </c>
      <c r="AM29" s="1574">
        <v>0</v>
      </c>
      <c r="AN29" s="1331">
        <f t="shared" si="4"/>
        <v>142.1</v>
      </c>
      <c r="AO29" s="1345">
        <v>0</v>
      </c>
      <c r="AP29" s="1334">
        <v>0</v>
      </c>
      <c r="AQ29" s="1334">
        <v>0</v>
      </c>
      <c r="AR29" s="1334">
        <v>0</v>
      </c>
      <c r="AS29" s="1334">
        <v>0</v>
      </c>
      <c r="AT29" s="1333">
        <v>945</v>
      </c>
      <c r="AU29" s="1335">
        <f t="shared" si="3"/>
        <v>945</v>
      </c>
      <c r="AV29" s="1339">
        <v>0</v>
      </c>
      <c r="AW29" s="1340">
        <v>0</v>
      </c>
      <c r="AX29" s="1341">
        <v>143</v>
      </c>
      <c r="AY29" s="1342">
        <v>0</v>
      </c>
      <c r="AZ29" s="1343">
        <v>945</v>
      </c>
      <c r="BA29" s="1336">
        <v>4670</v>
      </c>
      <c r="BC29" s="1585"/>
      <c r="BD29" s="1585"/>
      <c r="BE29" s="1585"/>
      <c r="BF29" s="1585"/>
      <c r="BH29" s="1585"/>
      <c r="BI29" s="1585"/>
      <c r="BJ29" s="1585"/>
      <c r="BK29" s="1580"/>
      <c r="BL29" s="1580"/>
      <c r="BM29" s="1580"/>
    </row>
    <row r="30" spans="1:65" ht="20.100000000000001" customHeight="1">
      <c r="A30" s="1337">
        <v>18</v>
      </c>
      <c r="B30" s="1338" t="s">
        <v>55</v>
      </c>
      <c r="C30" s="1573">
        <v>93</v>
      </c>
      <c r="D30" s="1566">
        <v>142</v>
      </c>
      <c r="E30" s="1566">
        <v>50</v>
      </c>
      <c r="F30" s="1566">
        <v>85</v>
      </c>
      <c r="G30" s="1566">
        <v>0</v>
      </c>
      <c r="H30" s="1566">
        <v>0</v>
      </c>
      <c r="I30" s="1566">
        <v>0</v>
      </c>
      <c r="J30" s="1566">
        <v>0</v>
      </c>
      <c r="K30" s="1570">
        <v>53</v>
      </c>
      <c r="L30" s="1566">
        <v>105</v>
      </c>
      <c r="M30" s="1566">
        <v>25</v>
      </c>
      <c r="N30" s="1566">
        <v>-8</v>
      </c>
      <c r="O30" s="1566">
        <v>0</v>
      </c>
      <c r="P30" s="1566">
        <v>0</v>
      </c>
      <c r="Q30" s="1566">
        <v>0</v>
      </c>
      <c r="R30" s="1566">
        <v>0</v>
      </c>
      <c r="S30" s="1333">
        <f t="shared" si="1"/>
        <v>146</v>
      </c>
      <c r="T30" s="1333">
        <f t="shared" si="5"/>
        <v>247</v>
      </c>
      <c r="U30" s="1333">
        <f t="shared" si="6"/>
        <v>75</v>
      </c>
      <c r="V30" s="1333">
        <f t="shared" si="7"/>
        <v>77</v>
      </c>
      <c r="W30" s="1333">
        <f t="shared" si="8"/>
        <v>0</v>
      </c>
      <c r="X30" s="1333">
        <f t="shared" si="9"/>
        <v>0</v>
      </c>
      <c r="Y30" s="1333">
        <f t="shared" si="10"/>
        <v>0</v>
      </c>
      <c r="Z30" s="1333">
        <f t="shared" si="11"/>
        <v>0</v>
      </c>
      <c r="AA30" s="1330">
        <f t="shared" si="2"/>
        <v>545</v>
      </c>
      <c r="AB30" s="1583">
        <v>11050.199999999999</v>
      </c>
      <c r="AC30" s="1578">
        <v>0</v>
      </c>
      <c r="AD30" s="1574">
        <v>0</v>
      </c>
      <c r="AE30" s="1574">
        <v>0</v>
      </c>
      <c r="AF30" s="1574">
        <v>0</v>
      </c>
      <c r="AG30" s="1574">
        <v>531.9</v>
      </c>
      <c r="AH30" s="1574">
        <v>0</v>
      </c>
      <c r="AI30" s="1574">
        <v>0</v>
      </c>
      <c r="AJ30" s="1574">
        <v>0</v>
      </c>
      <c r="AK30" s="1574">
        <v>134.80000000000001</v>
      </c>
      <c r="AL30" s="1574">
        <v>345.4</v>
      </c>
      <c r="AM30" s="1574">
        <v>0</v>
      </c>
      <c r="AN30" s="1331">
        <f t="shared" si="4"/>
        <v>1012.1</v>
      </c>
      <c r="AO30" s="1345">
        <v>0</v>
      </c>
      <c r="AP30" s="1334">
        <v>0</v>
      </c>
      <c r="AQ30" s="1334">
        <v>0</v>
      </c>
      <c r="AR30" s="1333">
        <v>171</v>
      </c>
      <c r="AS30" s="1333">
        <v>170</v>
      </c>
      <c r="AT30" s="1334">
        <v>0</v>
      </c>
      <c r="AU30" s="1335">
        <f t="shared" si="3"/>
        <v>341</v>
      </c>
      <c r="AV30" s="1339">
        <v>0</v>
      </c>
      <c r="AW30" s="1340">
        <v>0</v>
      </c>
      <c r="AX30" s="1341">
        <v>839</v>
      </c>
      <c r="AY30" s="1342">
        <v>517</v>
      </c>
      <c r="AZ30" s="1343">
        <v>0</v>
      </c>
      <c r="BA30" s="1336">
        <v>10134</v>
      </c>
      <c r="BC30" s="1585"/>
      <c r="BD30" s="1585"/>
      <c r="BE30" s="1585"/>
      <c r="BF30" s="1585"/>
      <c r="BH30" s="1585"/>
      <c r="BI30" s="1585"/>
      <c r="BJ30" s="1585"/>
      <c r="BK30" s="1580"/>
      <c r="BL30" s="1580"/>
      <c r="BM30" s="1580"/>
    </row>
    <row r="31" spans="1:65" ht="20.100000000000001" customHeight="1">
      <c r="A31" s="1337">
        <v>19</v>
      </c>
      <c r="B31" s="1338" t="s">
        <v>59</v>
      </c>
      <c r="C31" s="1573">
        <v>0</v>
      </c>
      <c r="D31" s="1566">
        <v>400</v>
      </c>
      <c r="E31" s="1566">
        <v>0</v>
      </c>
      <c r="F31" s="1566">
        <v>25</v>
      </c>
      <c r="G31" s="1566">
        <v>110</v>
      </c>
      <c r="H31" s="1566">
        <v>0</v>
      </c>
      <c r="I31" s="1566">
        <v>90</v>
      </c>
      <c r="J31" s="1566">
        <v>0</v>
      </c>
      <c r="K31" s="1570">
        <v>0</v>
      </c>
      <c r="L31" s="1566">
        <v>200</v>
      </c>
      <c r="M31" s="1566">
        <v>0</v>
      </c>
      <c r="N31" s="1566">
        <v>0</v>
      </c>
      <c r="O31" s="1566">
        <v>0</v>
      </c>
      <c r="P31" s="1566">
        <v>0</v>
      </c>
      <c r="Q31" s="1566">
        <v>10</v>
      </c>
      <c r="R31" s="1566">
        <v>0</v>
      </c>
      <c r="S31" s="1333">
        <f t="shared" si="1"/>
        <v>0</v>
      </c>
      <c r="T31" s="1333">
        <f t="shared" si="5"/>
        <v>600</v>
      </c>
      <c r="U31" s="1333">
        <f t="shared" si="6"/>
        <v>0</v>
      </c>
      <c r="V31" s="1333">
        <f t="shared" si="7"/>
        <v>25</v>
      </c>
      <c r="W31" s="1333">
        <f t="shared" si="8"/>
        <v>110</v>
      </c>
      <c r="X31" s="1333">
        <f t="shared" si="9"/>
        <v>0</v>
      </c>
      <c r="Y31" s="1333">
        <f t="shared" si="10"/>
        <v>100</v>
      </c>
      <c r="Z31" s="1333">
        <f t="shared" si="11"/>
        <v>0</v>
      </c>
      <c r="AA31" s="1330">
        <f t="shared" si="2"/>
        <v>835</v>
      </c>
      <c r="AB31" s="1583">
        <v>8107.8</v>
      </c>
      <c r="AC31" s="1578">
        <v>0</v>
      </c>
      <c r="AD31" s="1574">
        <v>0</v>
      </c>
      <c r="AE31" s="1574">
        <v>0</v>
      </c>
      <c r="AF31" s="1574">
        <v>0</v>
      </c>
      <c r="AG31" s="1574">
        <v>272.10000000000002</v>
      </c>
      <c r="AH31" s="1574">
        <v>0</v>
      </c>
      <c r="AI31" s="1574">
        <v>0</v>
      </c>
      <c r="AJ31" s="1574">
        <v>0</v>
      </c>
      <c r="AK31" s="1574">
        <v>33.200000000000003</v>
      </c>
      <c r="AL31" s="1574">
        <v>50.2</v>
      </c>
      <c r="AM31" s="1574">
        <v>0</v>
      </c>
      <c r="AN31" s="1331">
        <f t="shared" si="4"/>
        <v>355.5</v>
      </c>
      <c r="AO31" s="1345">
        <v>0</v>
      </c>
      <c r="AP31" s="1334">
        <v>0</v>
      </c>
      <c r="AQ31" s="1334">
        <v>0</v>
      </c>
      <c r="AR31" s="1333">
        <v>88</v>
      </c>
      <c r="AS31" s="1333">
        <v>29</v>
      </c>
      <c r="AT31" s="1333">
        <v>2001</v>
      </c>
      <c r="AU31" s="1335">
        <f t="shared" si="3"/>
        <v>2118</v>
      </c>
      <c r="AV31" s="1339">
        <v>0</v>
      </c>
      <c r="AW31" s="1340">
        <v>0</v>
      </c>
      <c r="AX31" s="1341">
        <v>394</v>
      </c>
      <c r="AY31" s="1342">
        <v>80</v>
      </c>
      <c r="AZ31" s="1343">
        <v>2001</v>
      </c>
      <c r="BA31" s="1336">
        <v>7766</v>
      </c>
      <c r="BC31" s="1585"/>
      <c r="BD31" s="1585"/>
      <c r="BE31" s="1585"/>
      <c r="BF31" s="1585"/>
      <c r="BH31" s="1585"/>
      <c r="BI31" s="1585"/>
      <c r="BJ31" s="1585"/>
      <c r="BK31" s="1580"/>
      <c r="BL31" s="1580"/>
      <c r="BM31" s="1580"/>
    </row>
    <row r="32" spans="1:65" ht="30" customHeight="1" thickBot="1">
      <c r="A32" s="1347"/>
      <c r="B32" s="1348" t="s">
        <v>2</v>
      </c>
      <c r="C32" s="1349">
        <f>SUM(C13:C31)</f>
        <v>1278.7</v>
      </c>
      <c r="D32" s="1350">
        <f t="shared" ref="D32:G32" si="12">SUM(D13:D31)</f>
        <v>2074</v>
      </c>
      <c r="E32" s="1350">
        <f t="shared" si="12"/>
        <v>682</v>
      </c>
      <c r="F32" s="1350">
        <f t="shared" si="12"/>
        <v>822</v>
      </c>
      <c r="G32" s="1350">
        <f t="shared" si="12"/>
        <v>179.8</v>
      </c>
      <c r="H32" s="1350">
        <f t="shared" ref="H32:I32" si="13">SUM(H13:H31)</f>
        <v>140</v>
      </c>
      <c r="I32" s="1350">
        <f t="shared" si="13"/>
        <v>90</v>
      </c>
      <c r="J32" s="1350">
        <f t="shared" ref="J32" si="14">SUM(J13:J31)</f>
        <v>35</v>
      </c>
      <c r="K32" s="1571">
        <f>SUM(K13:K31)</f>
        <v>680</v>
      </c>
      <c r="L32" s="1350">
        <f t="shared" ref="L32:R32" si="15">SUM(L13:L31)</f>
        <v>1118</v>
      </c>
      <c r="M32" s="1350">
        <f t="shared" si="15"/>
        <v>342</v>
      </c>
      <c r="N32" s="1350">
        <f t="shared" si="15"/>
        <v>0</v>
      </c>
      <c r="O32" s="1350">
        <f t="shared" si="15"/>
        <v>25</v>
      </c>
      <c r="P32" s="1350">
        <f t="shared" si="15"/>
        <v>80</v>
      </c>
      <c r="Q32" s="1350">
        <f t="shared" si="15"/>
        <v>10</v>
      </c>
      <c r="R32" s="1351">
        <f t="shared" si="15"/>
        <v>12</v>
      </c>
      <c r="S32" s="1351">
        <f t="shared" ref="S32" si="16">SUM(S13:S31)</f>
        <v>1958.7</v>
      </c>
      <c r="T32" s="1351">
        <f t="shared" ref="T32" si="17">SUM(T13:T31)</f>
        <v>3192</v>
      </c>
      <c r="U32" s="1351">
        <f t="shared" ref="U32" si="18">SUM(U13:U31)</f>
        <v>1024</v>
      </c>
      <c r="V32" s="1351">
        <f t="shared" ref="V32" si="19">SUM(V13:V31)</f>
        <v>822</v>
      </c>
      <c r="W32" s="1351">
        <f t="shared" ref="W32" si="20">SUM(W13:W31)</f>
        <v>204.8</v>
      </c>
      <c r="X32" s="1351">
        <f t="shared" ref="X32" si="21">SUM(X13:X31)</f>
        <v>220</v>
      </c>
      <c r="Y32" s="1351">
        <f t="shared" ref="Y32" si="22">SUM(Y13:Y31)</f>
        <v>100</v>
      </c>
      <c r="Z32" s="1350">
        <f t="shared" ref="Z32:AA32" si="23">SUM(Z13:Z31)</f>
        <v>47</v>
      </c>
      <c r="AA32" s="1350">
        <f t="shared" si="23"/>
        <v>7568.5</v>
      </c>
      <c r="AB32" s="1352">
        <f>SUM(AB13:AB31)</f>
        <v>107201.3</v>
      </c>
      <c r="AC32" s="1571">
        <f t="shared" ref="AC32" si="24">SUM(AC13:AC31)</f>
        <v>1712.7000000000003</v>
      </c>
      <c r="AD32" s="1350">
        <f t="shared" ref="AD32" si="25">SUM(AD13:AD31)</f>
        <v>437.6</v>
      </c>
      <c r="AE32" s="1350">
        <f t="shared" ref="AE32" si="26">SUM(AE13:AE31)</f>
        <v>1120.7</v>
      </c>
      <c r="AF32" s="1350">
        <f t="shared" ref="AF32" si="27">SUM(AF13:AF31)</f>
        <v>84.6</v>
      </c>
      <c r="AG32" s="1350">
        <f t="shared" ref="AG32" si="28">SUM(AG13:AG31)</f>
        <v>2416.9</v>
      </c>
      <c r="AH32" s="1350">
        <f t="shared" ref="AH32" si="29">SUM(AH13:AH31)</f>
        <v>150.5</v>
      </c>
      <c r="AI32" s="1350">
        <f t="shared" ref="AI32" si="30">SUM(AI13:AI31)</f>
        <v>338.7</v>
      </c>
      <c r="AJ32" s="1350">
        <f t="shared" ref="AJ32" si="31">SUM(AJ13:AJ31)</f>
        <v>94.6</v>
      </c>
      <c r="AK32" s="1350">
        <f t="shared" ref="AK32" si="32">SUM(AK13:AK31)</f>
        <v>395.7</v>
      </c>
      <c r="AL32" s="1350">
        <f t="shared" ref="AL32" si="33">SUM(AL13:AL31)</f>
        <v>793.40000000000009</v>
      </c>
      <c r="AM32" s="1350">
        <f t="shared" ref="AM32" si="34">SUM(AM13:AM31)</f>
        <v>457</v>
      </c>
      <c r="AN32" s="1351">
        <f t="shared" ref="AN32" si="35">SUM(AN13:AN31)</f>
        <v>8002.4000000000005</v>
      </c>
      <c r="AO32" s="1349">
        <f t="shared" ref="AO32" si="36">SUM(AO13:AO31)</f>
        <v>165</v>
      </c>
      <c r="AP32" s="1350">
        <f t="shared" ref="AP32" si="37">SUM(AP13:AP31)</f>
        <v>73.299999999999983</v>
      </c>
      <c r="AQ32" s="1350">
        <f t="shared" ref="AQ32" si="38">SUM(AQ13:AQ31)</f>
        <v>10</v>
      </c>
      <c r="AR32" s="1350">
        <f t="shared" ref="AR32" si="39">SUM(AR13:AR31)</f>
        <v>770</v>
      </c>
      <c r="AS32" s="1350">
        <f t="shared" ref="AS32" si="40">SUM(AS13:AS31)</f>
        <v>350</v>
      </c>
      <c r="AT32" s="1350">
        <f t="shared" ref="AT32" si="41">SUM(AT13:AT31)</f>
        <v>7700</v>
      </c>
      <c r="AU32" s="1352">
        <f t="shared" ref="AU32" si="42">SUM(AU13:AU31)</f>
        <v>9068.2999999999993</v>
      </c>
      <c r="AV32" s="1353">
        <f>SUM(AV13:AV31)</f>
        <v>3901</v>
      </c>
      <c r="AW32" s="1354">
        <f t="shared" ref="AW32:BA32" si="43">SUM(AW13:AW31)</f>
        <v>725</v>
      </c>
      <c r="AX32" s="1354">
        <f t="shared" si="43"/>
        <v>3659</v>
      </c>
      <c r="AY32" s="1354">
        <f t="shared" si="43"/>
        <v>1766</v>
      </c>
      <c r="AZ32" s="1355">
        <f t="shared" si="43"/>
        <v>8157</v>
      </c>
      <c r="BA32" s="1356">
        <f t="shared" si="43"/>
        <v>95428</v>
      </c>
      <c r="BC32" s="1383"/>
      <c r="BD32" s="1383"/>
      <c r="BE32" s="1383"/>
      <c r="BF32" s="1383"/>
      <c r="BH32" s="1383"/>
      <c r="BI32" s="1383"/>
      <c r="BJ32" s="1383"/>
      <c r="BK32" s="1582"/>
      <c r="BL32" s="1582"/>
      <c r="BM32" s="1582"/>
    </row>
    <row r="33" spans="1:65" s="1357" customFormat="1" ht="24.95" customHeight="1">
      <c r="B33" s="1358" t="s">
        <v>107</v>
      </c>
      <c r="C33" s="1567">
        <v>1278.7</v>
      </c>
      <c r="D33" s="1567">
        <v>2074</v>
      </c>
      <c r="E33" s="1567">
        <v>682</v>
      </c>
      <c r="F33" s="1567">
        <v>822</v>
      </c>
      <c r="G33" s="1567">
        <v>179.8</v>
      </c>
      <c r="H33" s="1567">
        <v>140</v>
      </c>
      <c r="I33" s="1567">
        <v>90</v>
      </c>
      <c r="J33" s="1567">
        <v>35</v>
      </c>
      <c r="K33" s="1567">
        <v>680</v>
      </c>
      <c r="L33" s="1567">
        <v>1118</v>
      </c>
      <c r="M33" s="1567">
        <v>342</v>
      </c>
      <c r="N33" s="1567">
        <v>0</v>
      </c>
      <c r="O33" s="1567">
        <v>25</v>
      </c>
      <c r="P33" s="1567">
        <v>80</v>
      </c>
      <c r="Q33" s="1567">
        <v>10</v>
      </c>
      <c r="R33" s="1567">
        <v>12</v>
      </c>
      <c r="S33" s="1360">
        <f t="shared" si="1"/>
        <v>1958.7</v>
      </c>
      <c r="T33" s="1360">
        <f t="shared" ref="T33" si="44">D33+L33</f>
        <v>3192</v>
      </c>
      <c r="U33" s="1360">
        <f t="shared" ref="U33" si="45">E33+M33</f>
        <v>1024</v>
      </c>
      <c r="V33" s="1360">
        <f t="shared" ref="V33" si="46">F33+N33</f>
        <v>822</v>
      </c>
      <c r="W33" s="1360">
        <f t="shared" ref="W33" si="47">G33+O33</f>
        <v>204.8</v>
      </c>
      <c r="X33" s="1360">
        <f t="shared" ref="X33" si="48">H33+P33</f>
        <v>220</v>
      </c>
      <c r="Y33" s="1360">
        <f t="shared" ref="Y33" si="49">I33+Q33</f>
        <v>100</v>
      </c>
      <c r="Z33" s="1360">
        <f t="shared" ref="Z33" si="50">J33+R33</f>
        <v>47</v>
      </c>
      <c r="AA33" s="1359">
        <f>SUM(S33:Z33)</f>
        <v>7568.5</v>
      </c>
      <c r="AB33" s="1567">
        <v>107201.3</v>
      </c>
      <c r="AC33" s="1577">
        <v>1712.7000000000003</v>
      </c>
      <c r="AD33" s="1577">
        <v>437.6</v>
      </c>
      <c r="AE33" s="1577">
        <v>1120.7</v>
      </c>
      <c r="AF33" s="1577">
        <v>84.6</v>
      </c>
      <c r="AG33" s="1577">
        <v>2416.9</v>
      </c>
      <c r="AH33" s="1577">
        <v>150.5</v>
      </c>
      <c r="AI33" s="1577">
        <v>338.7</v>
      </c>
      <c r="AJ33" s="1577">
        <v>94.6</v>
      </c>
      <c r="AK33" s="1577">
        <v>395.7</v>
      </c>
      <c r="AL33" s="1577">
        <v>793.40000000000009</v>
      </c>
      <c r="AM33" s="1577">
        <v>457</v>
      </c>
      <c r="AN33" s="1360">
        <f>SUM(AC33:AM33)</f>
        <v>8002.4</v>
      </c>
      <c r="AO33" s="1361">
        <v>165</v>
      </c>
      <c r="AP33" s="1361">
        <v>73.299999999999983</v>
      </c>
      <c r="AQ33" s="1361">
        <v>10</v>
      </c>
      <c r="AR33" s="1361">
        <v>770</v>
      </c>
      <c r="AS33" s="1361">
        <v>350</v>
      </c>
      <c r="AT33" s="1361">
        <v>7700</v>
      </c>
      <c r="AU33" s="1359">
        <f>SUM(AO33:AT33)</f>
        <v>9068.2999999999993</v>
      </c>
      <c r="AV33" s="1362">
        <v>3901</v>
      </c>
      <c r="AW33" s="1362">
        <v>725</v>
      </c>
      <c r="AX33" s="1362">
        <v>3659</v>
      </c>
      <c r="AY33" s="1362">
        <v>1766</v>
      </c>
      <c r="AZ33" s="1363">
        <v>8157</v>
      </c>
      <c r="BA33" s="1364">
        <v>95428</v>
      </c>
      <c r="BC33" s="1585"/>
      <c r="BD33" s="1585"/>
      <c r="BE33" s="1585"/>
      <c r="BF33" s="1585"/>
      <c r="BG33" s="1585"/>
      <c r="BH33" s="1580"/>
      <c r="BI33" s="1580"/>
      <c r="BJ33" s="1580"/>
      <c r="BK33" s="1580"/>
      <c r="BL33" s="1580"/>
      <c r="BM33" s="1580"/>
    </row>
    <row r="34" spans="1:65">
      <c r="C34" s="1564"/>
      <c r="D34" s="1564"/>
      <c r="E34" s="1564"/>
      <c r="F34" s="1564"/>
      <c r="G34" s="1564"/>
      <c r="H34" s="1564"/>
      <c r="I34" s="1564"/>
      <c r="J34" s="1564"/>
      <c r="K34" s="1564"/>
      <c r="L34" s="1564"/>
      <c r="M34" s="1564"/>
      <c r="AM34" s="1365"/>
      <c r="BC34" s="1584"/>
    </row>
    <row r="35" spans="1:65" ht="20.100000000000001" customHeight="1">
      <c r="A35" s="1" t="s">
        <v>129</v>
      </c>
      <c r="C35" s="585"/>
      <c r="D35" s="1366"/>
      <c r="E35" s="1367"/>
      <c r="F35" s="1367"/>
      <c r="G35" s="1367"/>
      <c r="H35" s="1367"/>
      <c r="I35" s="1367"/>
      <c r="J35" s="1367"/>
      <c r="K35" s="1367"/>
      <c r="L35" s="1367"/>
      <c r="M35" s="1367"/>
      <c r="N35" s="1367"/>
      <c r="O35" s="1368"/>
      <c r="P35" s="2"/>
      <c r="Q35" s="2"/>
      <c r="R35" s="2"/>
      <c r="S35" s="1585"/>
      <c r="T35" s="1585"/>
      <c r="U35" s="1585"/>
      <c r="V35" s="1585"/>
      <c r="W35" s="3"/>
      <c r="X35" s="1369"/>
      <c r="Y35" s="1369"/>
      <c r="Z35" s="1369"/>
      <c r="AA35" s="1369"/>
      <c r="AB35" s="1369"/>
      <c r="AC35" s="1369"/>
      <c r="AD35" s="1369"/>
      <c r="AE35" s="1369"/>
      <c r="AF35" s="1369"/>
    </row>
    <row r="36" spans="1:65">
      <c r="B36" s="4"/>
      <c r="C36" s="2"/>
      <c r="D36" s="5"/>
      <c r="E36" s="5"/>
      <c r="F36" s="5"/>
      <c r="G36" s="2"/>
      <c r="H36" s="2"/>
      <c r="I36" s="5"/>
      <c r="J36" s="5"/>
      <c r="K36" s="5"/>
      <c r="L36" s="6"/>
      <c r="M36" s="2"/>
      <c r="N36" s="2"/>
      <c r="O36" s="1368"/>
      <c r="P36" s="2"/>
      <c r="Q36" s="2"/>
      <c r="R36" s="2"/>
      <c r="S36" s="2"/>
      <c r="T36" s="2"/>
      <c r="U36" s="1370"/>
      <c r="V36" s="1370"/>
      <c r="W36" s="1370"/>
      <c r="X36" s="1370"/>
      <c r="Y36" s="1370"/>
      <c r="Z36" s="1370"/>
      <c r="AA36" s="1370"/>
      <c r="AB36" s="1370"/>
      <c r="AC36" s="1370"/>
      <c r="AD36" s="1370"/>
      <c r="AE36" s="1370"/>
      <c r="AF36" s="1370"/>
    </row>
    <row r="37" spans="1:65">
      <c r="A37" s="1289" t="s">
        <v>133</v>
      </c>
      <c r="B37" s="4"/>
      <c r="C37" s="2"/>
      <c r="E37" s="5"/>
      <c r="F37" s="5"/>
      <c r="G37" s="2"/>
      <c r="H37" s="2"/>
      <c r="I37" s="5"/>
      <c r="J37" s="5"/>
      <c r="K37" s="5"/>
      <c r="L37" s="6"/>
      <c r="M37" s="2"/>
      <c r="N37" s="2"/>
      <c r="O37" s="1368"/>
      <c r="P37" s="2"/>
      <c r="Q37" s="2"/>
      <c r="R37" s="2"/>
      <c r="S37" s="2"/>
      <c r="T37" s="2"/>
      <c r="U37" s="5"/>
      <c r="V37" s="5"/>
      <c r="W37" s="5"/>
    </row>
    <row r="38" spans="1:65" ht="20.100000000000001" customHeight="1">
      <c r="A38" s="1290">
        <v>1</v>
      </c>
      <c r="B38" s="7">
        <v>2</v>
      </c>
      <c r="C38" s="1290">
        <v>3</v>
      </c>
      <c r="D38" s="7">
        <v>4</v>
      </c>
      <c r="E38" s="1290">
        <v>5</v>
      </c>
      <c r="F38" s="7">
        <v>6</v>
      </c>
      <c r="G38" s="1290">
        <v>7</v>
      </c>
      <c r="H38" s="7">
        <v>8</v>
      </c>
      <c r="I38" s="1290">
        <v>9</v>
      </c>
      <c r="J38" s="7">
        <v>10</v>
      </c>
      <c r="K38" s="1290">
        <v>11</v>
      </c>
      <c r="L38" s="7">
        <v>12</v>
      </c>
      <c r="M38" s="1290">
        <v>13</v>
      </c>
      <c r="N38" s="7">
        <v>14</v>
      </c>
      <c r="O38" s="1290">
        <v>15</v>
      </c>
      <c r="P38" s="7">
        <v>16</v>
      </c>
      <c r="Q38" s="1290">
        <v>17</v>
      </c>
      <c r="R38" s="2"/>
      <c r="S38" s="2"/>
      <c r="T38" s="2"/>
      <c r="U38" s="5"/>
      <c r="V38" s="5"/>
      <c r="W38" s="5"/>
    </row>
    <row r="39" spans="1:65" ht="15.75" thickBot="1">
      <c r="B39" s="4"/>
      <c r="C39" s="2"/>
      <c r="D39" s="5"/>
      <c r="E39" s="5"/>
      <c r="F39" s="5"/>
      <c r="G39" s="2"/>
      <c r="H39" s="2"/>
      <c r="K39" s="5"/>
      <c r="L39" s="6"/>
      <c r="M39" s="2"/>
      <c r="N39" s="2"/>
      <c r="O39" s="5"/>
      <c r="P39" s="5"/>
      <c r="Q39" s="2"/>
      <c r="R39" s="2"/>
      <c r="S39" s="2"/>
      <c r="T39" s="2"/>
      <c r="U39" s="5"/>
      <c r="V39" s="5"/>
      <c r="W39" s="5"/>
    </row>
    <row r="40" spans="1:65" ht="60" customHeight="1">
      <c r="A40" s="1291"/>
      <c r="B40" s="1371"/>
      <c r="C40" s="1859" t="s">
        <v>166</v>
      </c>
      <c r="D40" s="1860"/>
      <c r="E40" s="1860"/>
      <c r="F40" s="1860"/>
      <c r="G40" s="1860"/>
      <c r="H40" s="1860"/>
      <c r="I40" s="1860"/>
      <c r="J40" s="1860"/>
      <c r="K40" s="1860"/>
      <c r="L40" s="1860"/>
      <c r="M40" s="1860"/>
      <c r="N40" s="1861"/>
      <c r="O40" s="1825" t="s">
        <v>229</v>
      </c>
      <c r="P40" s="1826"/>
      <c r="Q40" s="1827"/>
      <c r="R40" s="2"/>
      <c r="S40" s="2"/>
      <c r="T40" s="2"/>
      <c r="U40" s="5"/>
      <c r="V40" s="5"/>
      <c r="W40" s="5"/>
    </row>
    <row r="41" spans="1:65" ht="30" customHeight="1">
      <c r="A41" s="1372"/>
      <c r="B41" s="1373"/>
      <c r="C41" s="8" t="s">
        <v>167</v>
      </c>
      <c r="D41" s="8" t="s">
        <v>168</v>
      </c>
      <c r="E41" s="8" t="s">
        <v>169</v>
      </c>
      <c r="F41" s="969" t="s">
        <v>274</v>
      </c>
      <c r="G41" s="9">
        <v>3</v>
      </c>
      <c r="H41" s="9" t="s">
        <v>255</v>
      </c>
      <c r="I41" s="9" t="s">
        <v>256</v>
      </c>
      <c r="J41" s="10" t="s">
        <v>214</v>
      </c>
      <c r="K41" s="10" t="s">
        <v>215</v>
      </c>
      <c r="L41" s="10" t="s">
        <v>216</v>
      </c>
      <c r="M41" s="10" t="s">
        <v>217</v>
      </c>
      <c r="N41" s="10" t="s">
        <v>218</v>
      </c>
      <c r="O41" s="11" t="s">
        <v>43</v>
      </c>
      <c r="P41" s="1548" t="s">
        <v>32</v>
      </c>
      <c r="Q41" s="1551" t="s">
        <v>408</v>
      </c>
      <c r="R41" s="2"/>
      <c r="S41" s="2"/>
      <c r="T41" s="2"/>
      <c r="U41" s="5"/>
      <c r="V41" s="5"/>
      <c r="W41" s="5"/>
    </row>
    <row r="42" spans="1:65" ht="20.100000000000001" customHeight="1">
      <c r="A42" s="1337">
        <v>1</v>
      </c>
      <c r="B42" s="1374" t="s">
        <v>44</v>
      </c>
      <c r="C42" s="12">
        <v>1</v>
      </c>
      <c r="D42" s="12">
        <v>1</v>
      </c>
      <c r="E42" s="12">
        <v>0</v>
      </c>
      <c r="F42" s="1375">
        <f t="shared" ref="F42:F60" si="51">IF($AL13&gt;0,1,0)</f>
        <v>1</v>
      </c>
      <c r="G42" s="12">
        <v>2</v>
      </c>
      <c r="H42" s="12">
        <v>0</v>
      </c>
      <c r="I42" s="12">
        <v>0</v>
      </c>
      <c r="J42" s="1375">
        <f t="shared" ref="J42:J60" si="52">IF($S13&gt;0,1,0)</f>
        <v>1</v>
      </c>
      <c r="K42" s="1375">
        <f t="shared" ref="K42:K60" si="53">IF($T13&gt;0,1,0)</f>
        <v>1</v>
      </c>
      <c r="L42" s="1375">
        <f t="shared" ref="L42:L60" si="54">IF($U13&gt;0,1,0)</f>
        <v>1</v>
      </c>
      <c r="M42" s="1375">
        <f t="shared" ref="M42:M60" si="55">IF($V13&gt;0,1,0)</f>
        <v>1</v>
      </c>
      <c r="N42" s="1375">
        <f t="shared" ref="N42:N60" si="56">IF(SUM($W13:$Z13)&gt;0,1,0)</f>
        <v>0</v>
      </c>
      <c r="O42" s="13">
        <v>3</v>
      </c>
      <c r="P42" s="1549">
        <v>4</v>
      </c>
      <c r="Q42" s="1553">
        <v>45</v>
      </c>
      <c r="R42" s="2"/>
      <c r="S42" s="1552"/>
      <c r="T42" s="2"/>
      <c r="U42" s="5"/>
      <c r="V42" s="5"/>
      <c r="W42" s="5"/>
    </row>
    <row r="43" spans="1:65" ht="20.100000000000001" customHeight="1">
      <c r="A43" s="1337">
        <v>2</v>
      </c>
      <c r="B43" s="1374" t="s">
        <v>45</v>
      </c>
      <c r="C43" s="12">
        <v>0</v>
      </c>
      <c r="D43" s="12">
        <v>0</v>
      </c>
      <c r="E43" s="12">
        <v>0</v>
      </c>
      <c r="F43" s="1376">
        <f t="shared" si="51"/>
        <v>0</v>
      </c>
      <c r="G43" s="12">
        <v>0</v>
      </c>
      <c r="H43" s="12">
        <v>0</v>
      </c>
      <c r="I43" s="12">
        <v>1</v>
      </c>
      <c r="J43" s="1376">
        <f t="shared" si="52"/>
        <v>0</v>
      </c>
      <c r="K43" s="1376">
        <f t="shared" si="53"/>
        <v>1</v>
      </c>
      <c r="L43" s="1376">
        <f t="shared" si="54"/>
        <v>1</v>
      </c>
      <c r="M43" s="1376">
        <f t="shared" si="55"/>
        <v>1</v>
      </c>
      <c r="N43" s="1376">
        <f t="shared" si="56"/>
        <v>0</v>
      </c>
      <c r="O43" s="13">
        <v>5</v>
      </c>
      <c r="P43" s="1549">
        <v>6</v>
      </c>
      <c r="Q43" s="1554">
        <v>46</v>
      </c>
      <c r="R43" s="2"/>
      <c r="S43" s="1552"/>
      <c r="T43" s="2"/>
      <c r="U43" s="5"/>
      <c r="V43" s="5"/>
      <c r="W43" s="5"/>
    </row>
    <row r="44" spans="1:65" ht="20.100000000000001" customHeight="1">
      <c r="A44" s="1337">
        <v>3</v>
      </c>
      <c r="B44" s="1374" t="s">
        <v>46</v>
      </c>
      <c r="C44" s="12">
        <v>1</v>
      </c>
      <c r="D44" s="12">
        <v>1</v>
      </c>
      <c r="E44" s="12">
        <v>0</v>
      </c>
      <c r="F44" s="1376">
        <f t="shared" si="51"/>
        <v>1</v>
      </c>
      <c r="G44" s="12">
        <v>1</v>
      </c>
      <c r="H44" s="12">
        <v>1</v>
      </c>
      <c r="I44" s="12">
        <v>0</v>
      </c>
      <c r="J44" s="1376">
        <f t="shared" si="52"/>
        <v>1</v>
      </c>
      <c r="K44" s="1376">
        <f t="shared" si="53"/>
        <v>1</v>
      </c>
      <c r="L44" s="1376">
        <f t="shared" si="54"/>
        <v>1</v>
      </c>
      <c r="M44" s="1376">
        <f t="shared" si="55"/>
        <v>1</v>
      </c>
      <c r="N44" s="1376">
        <f t="shared" si="56"/>
        <v>0</v>
      </c>
      <c r="O44" s="13">
        <v>7</v>
      </c>
      <c r="P44" s="1549">
        <v>8</v>
      </c>
      <c r="Q44" s="1554">
        <v>47</v>
      </c>
      <c r="R44" s="2"/>
      <c r="S44" s="1552"/>
      <c r="T44" s="2"/>
      <c r="U44" s="5"/>
      <c r="V44" s="5"/>
      <c r="W44" s="5"/>
    </row>
    <row r="45" spans="1:65" ht="20.100000000000001" customHeight="1">
      <c r="A45" s="1337">
        <v>4</v>
      </c>
      <c r="B45" s="1374" t="s">
        <v>63</v>
      </c>
      <c r="C45" s="12">
        <v>0</v>
      </c>
      <c r="D45" s="12">
        <v>0</v>
      </c>
      <c r="E45" s="12">
        <v>0</v>
      </c>
      <c r="F45" s="1376">
        <f t="shared" si="51"/>
        <v>0</v>
      </c>
      <c r="G45" s="12">
        <v>0</v>
      </c>
      <c r="H45" s="12">
        <v>1</v>
      </c>
      <c r="I45" s="12">
        <v>0</v>
      </c>
      <c r="J45" s="1376">
        <f t="shared" si="52"/>
        <v>0</v>
      </c>
      <c r="K45" s="1376">
        <f t="shared" si="53"/>
        <v>1</v>
      </c>
      <c r="L45" s="1376">
        <f t="shared" si="54"/>
        <v>0</v>
      </c>
      <c r="M45" s="1376">
        <f t="shared" si="55"/>
        <v>1</v>
      </c>
      <c r="N45" s="1376">
        <f t="shared" si="56"/>
        <v>0</v>
      </c>
      <c r="O45" s="13">
        <v>9</v>
      </c>
      <c r="P45" s="1549">
        <v>10</v>
      </c>
      <c r="Q45" s="1554">
        <v>48</v>
      </c>
      <c r="R45" s="2"/>
      <c r="S45" s="1552"/>
      <c r="T45" s="2"/>
      <c r="U45" s="5"/>
      <c r="V45" s="5"/>
      <c r="W45" s="5"/>
    </row>
    <row r="46" spans="1:65" ht="20.100000000000001" customHeight="1">
      <c r="A46" s="1337">
        <v>5</v>
      </c>
      <c r="B46" s="1374" t="s">
        <v>47</v>
      </c>
      <c r="C46" s="12">
        <v>1</v>
      </c>
      <c r="D46" s="12">
        <v>0</v>
      </c>
      <c r="E46" s="12">
        <v>0</v>
      </c>
      <c r="F46" s="1376">
        <f t="shared" si="51"/>
        <v>1</v>
      </c>
      <c r="G46" s="12">
        <v>3</v>
      </c>
      <c r="H46" s="12">
        <v>0</v>
      </c>
      <c r="I46" s="12">
        <v>1</v>
      </c>
      <c r="J46" s="1376">
        <f t="shared" si="52"/>
        <v>1</v>
      </c>
      <c r="K46" s="1376">
        <f t="shared" si="53"/>
        <v>0</v>
      </c>
      <c r="L46" s="1376">
        <f t="shared" si="54"/>
        <v>1</v>
      </c>
      <c r="M46" s="1376">
        <f t="shared" si="55"/>
        <v>1</v>
      </c>
      <c r="N46" s="1376">
        <f t="shared" si="56"/>
        <v>0</v>
      </c>
      <c r="O46" s="13">
        <v>11</v>
      </c>
      <c r="P46" s="1549">
        <v>12</v>
      </c>
      <c r="Q46" s="1554">
        <v>49</v>
      </c>
      <c r="R46" s="2"/>
      <c r="S46" s="1552"/>
      <c r="T46" s="2"/>
      <c r="U46" s="5"/>
      <c r="V46" s="5"/>
      <c r="W46" s="5"/>
    </row>
    <row r="47" spans="1:65" ht="20.100000000000001" customHeight="1">
      <c r="A47" s="1337">
        <v>6</v>
      </c>
      <c r="B47" s="1374" t="s">
        <v>48</v>
      </c>
      <c r="C47" s="12">
        <v>0</v>
      </c>
      <c r="D47" s="12">
        <v>0</v>
      </c>
      <c r="E47" s="12">
        <v>0</v>
      </c>
      <c r="F47" s="1376">
        <f t="shared" si="51"/>
        <v>0</v>
      </c>
      <c r="G47" s="12">
        <v>0</v>
      </c>
      <c r="H47" s="12">
        <v>1</v>
      </c>
      <c r="I47" s="12">
        <v>1</v>
      </c>
      <c r="J47" s="1376">
        <f t="shared" si="52"/>
        <v>0</v>
      </c>
      <c r="K47" s="1376">
        <f t="shared" si="53"/>
        <v>1</v>
      </c>
      <c r="L47" s="1376">
        <f t="shared" si="54"/>
        <v>0</v>
      </c>
      <c r="M47" s="1376">
        <f t="shared" si="55"/>
        <v>1</v>
      </c>
      <c r="N47" s="1376">
        <f t="shared" si="56"/>
        <v>0</v>
      </c>
      <c r="O47" s="13">
        <v>13</v>
      </c>
      <c r="P47" s="1549">
        <v>14</v>
      </c>
      <c r="Q47" s="1554">
        <v>50</v>
      </c>
      <c r="R47" s="2"/>
      <c r="S47" s="1552"/>
      <c r="T47" s="2"/>
      <c r="U47" s="5"/>
      <c r="V47" s="5"/>
      <c r="W47" s="5"/>
    </row>
    <row r="48" spans="1:65" ht="20.100000000000001" customHeight="1">
      <c r="A48" s="1337">
        <v>7</v>
      </c>
      <c r="B48" s="1374" t="s">
        <v>49</v>
      </c>
      <c r="C48" s="12">
        <v>0</v>
      </c>
      <c r="D48" s="12">
        <v>0</v>
      </c>
      <c r="E48" s="12">
        <v>0</v>
      </c>
      <c r="F48" s="1376">
        <f t="shared" si="51"/>
        <v>0</v>
      </c>
      <c r="G48" s="12">
        <v>0</v>
      </c>
      <c r="H48" s="12">
        <v>0</v>
      </c>
      <c r="I48" s="12">
        <v>0</v>
      </c>
      <c r="J48" s="1376">
        <f t="shared" si="52"/>
        <v>1</v>
      </c>
      <c r="K48" s="1376">
        <f t="shared" si="53"/>
        <v>1</v>
      </c>
      <c r="L48" s="1376">
        <f t="shared" si="54"/>
        <v>1</v>
      </c>
      <c r="M48" s="1376">
        <f t="shared" si="55"/>
        <v>1</v>
      </c>
      <c r="N48" s="1376">
        <f t="shared" si="56"/>
        <v>0</v>
      </c>
      <c r="O48" s="13">
        <v>15</v>
      </c>
      <c r="P48" s="1549">
        <v>16</v>
      </c>
      <c r="Q48" s="1554">
        <v>51</v>
      </c>
      <c r="R48" s="2"/>
      <c r="S48" s="1552"/>
      <c r="T48" s="2"/>
      <c r="U48" s="5"/>
      <c r="V48" s="5"/>
      <c r="W48" s="5"/>
    </row>
    <row r="49" spans="1:23" ht="20.100000000000001" customHeight="1">
      <c r="A49" s="1337">
        <v>8</v>
      </c>
      <c r="B49" s="1374" t="s">
        <v>50</v>
      </c>
      <c r="C49" s="12">
        <v>1</v>
      </c>
      <c r="D49" s="12">
        <v>0</v>
      </c>
      <c r="E49" s="12">
        <v>1</v>
      </c>
      <c r="F49" s="1376">
        <f t="shared" si="51"/>
        <v>1</v>
      </c>
      <c r="G49" s="12">
        <v>1</v>
      </c>
      <c r="H49" s="12">
        <v>0</v>
      </c>
      <c r="I49" s="12">
        <v>1</v>
      </c>
      <c r="J49" s="1376">
        <f t="shared" si="52"/>
        <v>1</v>
      </c>
      <c r="K49" s="1376">
        <f t="shared" si="53"/>
        <v>1</v>
      </c>
      <c r="L49" s="1376">
        <f t="shared" si="54"/>
        <v>1</v>
      </c>
      <c r="M49" s="1376">
        <f t="shared" si="55"/>
        <v>1</v>
      </c>
      <c r="N49" s="1376">
        <f t="shared" si="56"/>
        <v>1</v>
      </c>
      <c r="O49" s="13">
        <v>17</v>
      </c>
      <c r="P49" s="1549">
        <v>18</v>
      </c>
      <c r="Q49" s="1554">
        <v>52</v>
      </c>
      <c r="R49" s="2"/>
      <c r="S49" s="1552"/>
      <c r="T49" s="2"/>
      <c r="U49" s="5"/>
      <c r="V49" s="5"/>
      <c r="W49" s="5"/>
    </row>
    <row r="50" spans="1:23" ht="20.100000000000001" customHeight="1">
      <c r="A50" s="1337">
        <v>9</v>
      </c>
      <c r="B50" s="1374" t="s">
        <v>51</v>
      </c>
      <c r="C50" s="12">
        <v>0</v>
      </c>
      <c r="D50" s="12">
        <v>0</v>
      </c>
      <c r="E50" s="12">
        <v>0</v>
      </c>
      <c r="F50" s="1376">
        <f t="shared" si="51"/>
        <v>0</v>
      </c>
      <c r="G50" s="12">
        <v>0</v>
      </c>
      <c r="H50" s="12">
        <v>0</v>
      </c>
      <c r="I50" s="12">
        <v>0</v>
      </c>
      <c r="J50" s="1376">
        <f t="shared" si="52"/>
        <v>1</v>
      </c>
      <c r="K50" s="1376">
        <f t="shared" si="53"/>
        <v>1</v>
      </c>
      <c r="L50" s="1376">
        <f t="shared" si="54"/>
        <v>1</v>
      </c>
      <c r="M50" s="1376">
        <f t="shared" si="55"/>
        <v>1</v>
      </c>
      <c r="N50" s="1376">
        <f t="shared" si="56"/>
        <v>1</v>
      </c>
      <c r="O50" s="13">
        <v>19</v>
      </c>
      <c r="P50" s="1549">
        <v>20</v>
      </c>
      <c r="Q50" s="1554">
        <v>53</v>
      </c>
      <c r="R50" s="2"/>
      <c r="S50" s="1552"/>
      <c r="T50" s="2"/>
      <c r="U50" s="5"/>
      <c r="V50" s="5"/>
      <c r="W50" s="5"/>
    </row>
    <row r="51" spans="1:23" ht="20.100000000000001" customHeight="1">
      <c r="A51" s="1337">
        <v>10</v>
      </c>
      <c r="B51" s="1374" t="s">
        <v>104</v>
      </c>
      <c r="C51" s="12">
        <v>1</v>
      </c>
      <c r="D51" s="12">
        <v>0</v>
      </c>
      <c r="E51" s="12">
        <v>0</v>
      </c>
      <c r="F51" s="1376">
        <f t="shared" si="51"/>
        <v>0</v>
      </c>
      <c r="G51" s="12">
        <v>0</v>
      </c>
      <c r="H51" s="12">
        <v>0</v>
      </c>
      <c r="I51" s="12">
        <v>0</v>
      </c>
      <c r="J51" s="1376">
        <f t="shared" si="52"/>
        <v>0</v>
      </c>
      <c r="K51" s="1376">
        <f t="shared" si="53"/>
        <v>0</v>
      </c>
      <c r="L51" s="1376">
        <f t="shared" si="54"/>
        <v>0</v>
      </c>
      <c r="M51" s="1376">
        <f t="shared" si="55"/>
        <v>0</v>
      </c>
      <c r="N51" s="1376">
        <f t="shared" si="56"/>
        <v>0</v>
      </c>
      <c r="O51" s="13">
        <v>21</v>
      </c>
      <c r="P51" s="1549">
        <v>22</v>
      </c>
      <c r="Q51" s="1554">
        <v>54</v>
      </c>
      <c r="R51" s="2"/>
      <c r="S51" s="1552"/>
      <c r="T51" s="2"/>
      <c r="U51" s="5"/>
      <c r="V51" s="5"/>
      <c r="W51" s="5"/>
    </row>
    <row r="52" spans="1:23" ht="20.100000000000001" customHeight="1">
      <c r="A52" s="1337">
        <v>11</v>
      </c>
      <c r="B52" s="1374" t="s">
        <v>105</v>
      </c>
      <c r="C52" s="12">
        <v>0</v>
      </c>
      <c r="D52" s="12">
        <v>0</v>
      </c>
      <c r="E52" s="12">
        <v>0</v>
      </c>
      <c r="F52" s="1376">
        <f t="shared" si="51"/>
        <v>0</v>
      </c>
      <c r="G52" s="12">
        <v>0</v>
      </c>
      <c r="H52" s="12">
        <v>0</v>
      </c>
      <c r="I52" s="12">
        <v>0</v>
      </c>
      <c r="J52" s="1376">
        <f t="shared" si="52"/>
        <v>0</v>
      </c>
      <c r="K52" s="1376">
        <f t="shared" si="53"/>
        <v>1</v>
      </c>
      <c r="L52" s="1376">
        <f t="shared" si="54"/>
        <v>1</v>
      </c>
      <c r="M52" s="1376">
        <f t="shared" si="55"/>
        <v>1</v>
      </c>
      <c r="N52" s="1376">
        <f t="shared" si="56"/>
        <v>0</v>
      </c>
      <c r="O52" s="13">
        <v>23</v>
      </c>
      <c r="P52" s="1549">
        <v>24</v>
      </c>
      <c r="Q52" s="1554">
        <v>55</v>
      </c>
      <c r="R52" s="2"/>
      <c r="S52" s="1552"/>
      <c r="T52" s="2"/>
      <c r="U52" s="5"/>
      <c r="V52" s="5"/>
      <c r="W52" s="5"/>
    </row>
    <row r="53" spans="1:23" ht="20.100000000000001" customHeight="1">
      <c r="A53" s="1337">
        <v>12</v>
      </c>
      <c r="B53" s="1374" t="s">
        <v>58</v>
      </c>
      <c r="C53" s="12">
        <v>0</v>
      </c>
      <c r="D53" s="12">
        <v>0</v>
      </c>
      <c r="E53" s="12">
        <v>0</v>
      </c>
      <c r="F53" s="1376">
        <f t="shared" si="51"/>
        <v>0</v>
      </c>
      <c r="G53" s="12">
        <v>0</v>
      </c>
      <c r="H53" s="12">
        <v>0</v>
      </c>
      <c r="I53" s="12">
        <v>1</v>
      </c>
      <c r="J53" s="1376">
        <f t="shared" si="52"/>
        <v>0</v>
      </c>
      <c r="K53" s="1376">
        <f t="shared" si="53"/>
        <v>1</v>
      </c>
      <c r="L53" s="1376">
        <f t="shared" si="54"/>
        <v>0</v>
      </c>
      <c r="M53" s="1376">
        <f t="shared" si="55"/>
        <v>1</v>
      </c>
      <c r="N53" s="1376">
        <f t="shared" si="56"/>
        <v>1</v>
      </c>
      <c r="O53" s="13">
        <v>25</v>
      </c>
      <c r="P53" s="1549">
        <v>26</v>
      </c>
      <c r="Q53" s="1554">
        <v>56</v>
      </c>
      <c r="R53" s="2"/>
      <c r="S53" s="1552"/>
      <c r="T53" s="2"/>
      <c r="U53" s="5"/>
      <c r="V53" s="5"/>
      <c r="W53" s="5"/>
    </row>
    <row r="54" spans="1:23" ht="20.100000000000001" customHeight="1">
      <c r="A54" s="1337">
        <v>13</v>
      </c>
      <c r="B54" s="1374" t="s">
        <v>52</v>
      </c>
      <c r="C54" s="12">
        <v>0</v>
      </c>
      <c r="D54" s="12">
        <v>0</v>
      </c>
      <c r="E54" s="12">
        <v>0</v>
      </c>
      <c r="F54" s="1376">
        <f t="shared" si="51"/>
        <v>0</v>
      </c>
      <c r="G54" s="12">
        <v>0</v>
      </c>
      <c r="H54" s="12">
        <v>1</v>
      </c>
      <c r="I54" s="12">
        <v>1</v>
      </c>
      <c r="J54" s="1376">
        <f t="shared" si="52"/>
        <v>0</v>
      </c>
      <c r="K54" s="1376">
        <f t="shared" si="53"/>
        <v>1</v>
      </c>
      <c r="L54" s="1376">
        <f t="shared" si="54"/>
        <v>1</v>
      </c>
      <c r="M54" s="1376">
        <f t="shared" si="55"/>
        <v>1</v>
      </c>
      <c r="N54" s="1376">
        <f t="shared" si="56"/>
        <v>1</v>
      </c>
      <c r="O54" s="13">
        <v>27</v>
      </c>
      <c r="P54" s="1549">
        <v>28</v>
      </c>
      <c r="Q54" s="1554">
        <v>57</v>
      </c>
      <c r="R54" s="2"/>
      <c r="S54" s="1552"/>
      <c r="T54" s="2"/>
      <c r="U54" s="5"/>
      <c r="V54" s="5"/>
      <c r="W54" s="5"/>
    </row>
    <row r="55" spans="1:23" ht="20.100000000000001" customHeight="1">
      <c r="A55" s="1337">
        <v>14</v>
      </c>
      <c r="B55" s="1377" t="s">
        <v>106</v>
      </c>
      <c r="C55" s="12">
        <v>1</v>
      </c>
      <c r="D55" s="12">
        <v>0</v>
      </c>
      <c r="E55" s="12">
        <v>0</v>
      </c>
      <c r="F55" s="1376">
        <f t="shared" si="51"/>
        <v>0</v>
      </c>
      <c r="G55" s="12">
        <v>0</v>
      </c>
      <c r="H55" s="12">
        <v>0</v>
      </c>
      <c r="I55" s="12">
        <v>0</v>
      </c>
      <c r="J55" s="1376">
        <f t="shared" si="52"/>
        <v>1</v>
      </c>
      <c r="K55" s="1376">
        <f t="shared" si="53"/>
        <v>0</v>
      </c>
      <c r="L55" s="1376">
        <f t="shared" si="54"/>
        <v>0</v>
      </c>
      <c r="M55" s="1376">
        <f t="shared" si="55"/>
        <v>1</v>
      </c>
      <c r="N55" s="1376">
        <f t="shared" si="56"/>
        <v>0</v>
      </c>
      <c r="O55" s="13">
        <v>29</v>
      </c>
      <c r="P55" s="1549">
        <v>30</v>
      </c>
      <c r="Q55" s="1554">
        <v>58</v>
      </c>
      <c r="R55" s="2"/>
      <c r="S55" s="1552"/>
      <c r="T55" s="2"/>
      <c r="U55" s="5"/>
      <c r="V55" s="5"/>
      <c r="W55" s="5"/>
    </row>
    <row r="56" spans="1:23" ht="20.100000000000001" customHeight="1">
      <c r="A56" s="1337">
        <v>15</v>
      </c>
      <c r="B56" s="1378" t="s">
        <v>196</v>
      </c>
      <c r="C56" s="14">
        <v>0</v>
      </c>
      <c r="D56" s="12">
        <v>0</v>
      </c>
      <c r="E56" s="12">
        <v>0</v>
      </c>
      <c r="F56" s="1376">
        <f t="shared" si="51"/>
        <v>0</v>
      </c>
      <c r="G56" s="12">
        <v>0</v>
      </c>
      <c r="H56" s="12">
        <v>0</v>
      </c>
      <c r="I56" s="12">
        <v>0</v>
      </c>
      <c r="J56" s="1376">
        <f t="shared" si="52"/>
        <v>0</v>
      </c>
      <c r="K56" s="1376">
        <f t="shared" si="53"/>
        <v>1</v>
      </c>
      <c r="L56" s="1376">
        <f t="shared" si="54"/>
        <v>0</v>
      </c>
      <c r="M56" s="1376">
        <f t="shared" si="55"/>
        <v>1</v>
      </c>
      <c r="N56" s="1376">
        <f t="shared" si="56"/>
        <v>0</v>
      </c>
      <c r="O56" s="13">
        <v>31</v>
      </c>
      <c r="P56" s="1549">
        <v>32</v>
      </c>
      <c r="Q56" s="1554">
        <v>59</v>
      </c>
      <c r="R56" s="2"/>
      <c r="S56" s="1552"/>
      <c r="T56" s="2"/>
      <c r="U56" s="5"/>
      <c r="V56" s="5"/>
      <c r="W56" s="5"/>
    </row>
    <row r="57" spans="1:23" ht="20.100000000000001" customHeight="1">
      <c r="A57" s="1337">
        <v>16</v>
      </c>
      <c r="B57" s="1374" t="s">
        <v>53</v>
      </c>
      <c r="C57" s="12">
        <v>0</v>
      </c>
      <c r="D57" s="12">
        <v>0</v>
      </c>
      <c r="E57" s="12">
        <v>0</v>
      </c>
      <c r="F57" s="1376">
        <f t="shared" si="51"/>
        <v>0</v>
      </c>
      <c r="G57" s="12">
        <v>4</v>
      </c>
      <c r="H57" s="12">
        <v>0</v>
      </c>
      <c r="I57" s="12">
        <v>0</v>
      </c>
      <c r="J57" s="1376">
        <f t="shared" si="52"/>
        <v>1</v>
      </c>
      <c r="K57" s="1376">
        <f t="shared" si="53"/>
        <v>0</v>
      </c>
      <c r="L57" s="1376">
        <f t="shared" si="54"/>
        <v>1</v>
      </c>
      <c r="M57" s="1376">
        <f t="shared" si="55"/>
        <v>1</v>
      </c>
      <c r="N57" s="1376">
        <f t="shared" si="56"/>
        <v>0</v>
      </c>
      <c r="O57" s="13">
        <v>33</v>
      </c>
      <c r="P57" s="1549">
        <v>34</v>
      </c>
      <c r="Q57" s="1554">
        <v>60</v>
      </c>
      <c r="R57" s="2"/>
      <c r="S57" s="1552"/>
      <c r="T57" s="2"/>
      <c r="U57" s="5"/>
      <c r="V57" s="5"/>
      <c r="W57" s="5"/>
    </row>
    <row r="58" spans="1:23" ht="20.100000000000001" customHeight="1">
      <c r="A58" s="1337">
        <v>17</v>
      </c>
      <c r="B58" s="1374" t="s">
        <v>54</v>
      </c>
      <c r="C58" s="12">
        <v>1</v>
      </c>
      <c r="D58" s="12">
        <v>1</v>
      </c>
      <c r="E58" s="12">
        <v>0</v>
      </c>
      <c r="F58" s="1376">
        <f t="shared" si="51"/>
        <v>0</v>
      </c>
      <c r="G58" s="12">
        <v>0</v>
      </c>
      <c r="H58" s="12">
        <v>1</v>
      </c>
      <c r="I58" s="12">
        <v>0</v>
      </c>
      <c r="J58" s="1376">
        <f t="shared" si="52"/>
        <v>1</v>
      </c>
      <c r="K58" s="1376">
        <f t="shared" si="53"/>
        <v>1</v>
      </c>
      <c r="L58" s="1376">
        <f t="shared" si="54"/>
        <v>0</v>
      </c>
      <c r="M58" s="1376">
        <f t="shared" si="55"/>
        <v>1</v>
      </c>
      <c r="N58" s="1376">
        <f t="shared" si="56"/>
        <v>0</v>
      </c>
      <c r="O58" s="13">
        <v>35</v>
      </c>
      <c r="P58" s="1549">
        <v>36</v>
      </c>
      <c r="Q58" s="1554">
        <v>61</v>
      </c>
      <c r="R58" s="2"/>
      <c r="S58" s="1552"/>
      <c r="T58" s="2"/>
      <c r="U58" s="5"/>
      <c r="V58" s="5"/>
      <c r="W58" s="5"/>
    </row>
    <row r="59" spans="1:23" ht="20.100000000000001" customHeight="1">
      <c r="A59" s="1337">
        <v>18</v>
      </c>
      <c r="B59" s="1374" t="s">
        <v>55</v>
      </c>
      <c r="C59" s="12">
        <v>1</v>
      </c>
      <c r="D59" s="12">
        <v>0</v>
      </c>
      <c r="E59" s="12">
        <v>0</v>
      </c>
      <c r="F59" s="1376">
        <f t="shared" si="51"/>
        <v>1</v>
      </c>
      <c r="G59" s="12">
        <v>0</v>
      </c>
      <c r="H59" s="12">
        <v>0</v>
      </c>
      <c r="I59" s="12">
        <v>0</v>
      </c>
      <c r="J59" s="1376">
        <f t="shared" si="52"/>
        <v>1</v>
      </c>
      <c r="K59" s="1376">
        <f t="shared" si="53"/>
        <v>1</v>
      </c>
      <c r="L59" s="1376">
        <f t="shared" si="54"/>
        <v>1</v>
      </c>
      <c r="M59" s="1376">
        <f t="shared" si="55"/>
        <v>1</v>
      </c>
      <c r="N59" s="1376">
        <f t="shared" si="56"/>
        <v>0</v>
      </c>
      <c r="O59" s="13">
        <v>37</v>
      </c>
      <c r="P59" s="1549">
        <v>38</v>
      </c>
      <c r="Q59" s="1554">
        <v>62</v>
      </c>
      <c r="R59" s="2"/>
      <c r="S59" s="1552"/>
      <c r="T59" s="2"/>
      <c r="U59" s="5"/>
      <c r="V59" s="5"/>
      <c r="W59" s="5"/>
    </row>
    <row r="60" spans="1:23" ht="20.100000000000001" customHeight="1">
      <c r="A60" s="1337">
        <v>19</v>
      </c>
      <c r="B60" s="1374" t="s">
        <v>59</v>
      </c>
      <c r="C60" s="12">
        <v>1</v>
      </c>
      <c r="D60" s="12">
        <v>0</v>
      </c>
      <c r="E60" s="12">
        <v>0</v>
      </c>
      <c r="F60" s="1376">
        <f t="shared" si="51"/>
        <v>1</v>
      </c>
      <c r="G60" s="12">
        <v>0</v>
      </c>
      <c r="H60" s="12">
        <v>1</v>
      </c>
      <c r="I60" s="12">
        <v>0</v>
      </c>
      <c r="J60" s="1376">
        <f t="shared" si="52"/>
        <v>0</v>
      </c>
      <c r="K60" s="1376">
        <f t="shared" si="53"/>
        <v>1</v>
      </c>
      <c r="L60" s="1376">
        <f t="shared" si="54"/>
        <v>0</v>
      </c>
      <c r="M60" s="1376">
        <f t="shared" si="55"/>
        <v>1</v>
      </c>
      <c r="N60" s="1376">
        <f t="shared" si="56"/>
        <v>1</v>
      </c>
      <c r="O60" s="13">
        <v>39</v>
      </c>
      <c r="P60" s="1549">
        <v>40</v>
      </c>
      <c r="Q60" s="1554">
        <v>63</v>
      </c>
      <c r="S60" s="1552"/>
    </row>
    <row r="61" spans="1:23" ht="24.95" customHeight="1" thickBot="1">
      <c r="A61" s="1379">
        <v>21</v>
      </c>
      <c r="B61" s="1380" t="s">
        <v>236</v>
      </c>
      <c r="C61" s="15">
        <v>0</v>
      </c>
      <c r="D61" s="15"/>
      <c r="E61" s="15"/>
      <c r="F61" s="1381"/>
      <c r="G61" s="15"/>
      <c r="H61" s="15"/>
      <c r="I61" s="15"/>
      <c r="J61" s="1381"/>
      <c r="K61" s="1381"/>
      <c r="L61" s="1381"/>
      <c r="M61" s="1381"/>
      <c r="N61" s="1382"/>
      <c r="O61" s="16">
        <v>43</v>
      </c>
      <c r="P61" s="1550">
        <v>44</v>
      </c>
      <c r="Q61" s="1555">
        <v>65</v>
      </c>
      <c r="R61" s="2"/>
      <c r="S61" s="1552"/>
      <c r="T61" s="2"/>
      <c r="U61" s="5"/>
      <c r="V61" s="5"/>
      <c r="W61" s="5"/>
    </row>
    <row r="62" spans="1:23">
      <c r="S62" s="1290"/>
    </row>
    <row r="63" spans="1:23" ht="20.100000000000001" customHeight="1">
      <c r="A63" s="1288" t="s">
        <v>391</v>
      </c>
    </row>
    <row r="65" spans="1:65" ht="20.100000000000001" customHeight="1">
      <c r="A65" s="1289" t="s">
        <v>133</v>
      </c>
    </row>
    <row r="66" spans="1:65" ht="20.100000000000001" customHeight="1">
      <c r="A66" s="1290">
        <v>1</v>
      </c>
      <c r="B66" s="1290">
        <v>2</v>
      </c>
      <c r="C66" s="1290">
        <v>3</v>
      </c>
      <c r="D66" s="1290">
        <v>4</v>
      </c>
      <c r="E66" s="1290">
        <v>5</v>
      </c>
      <c r="F66" s="1290">
        <v>6</v>
      </c>
      <c r="G66" s="1290">
        <v>7</v>
      </c>
      <c r="H66" s="1290">
        <v>8</v>
      </c>
      <c r="I66" s="1290">
        <v>9</v>
      </c>
      <c r="J66" s="1290">
        <v>10</v>
      </c>
      <c r="K66" s="1290">
        <v>11</v>
      </c>
      <c r="L66" s="1290">
        <v>12</v>
      </c>
      <c r="M66" s="1290">
        <v>13</v>
      </c>
      <c r="N66" s="1290">
        <v>14</v>
      </c>
      <c r="O66" s="1290">
        <v>15</v>
      </c>
      <c r="P66" s="1290">
        <v>16</v>
      </c>
      <c r="Q66" s="1290">
        <v>17</v>
      </c>
      <c r="R66" s="1290">
        <v>18</v>
      </c>
      <c r="S66" s="1290">
        <v>19</v>
      </c>
      <c r="T66" s="1290">
        <v>20</v>
      </c>
      <c r="U66" s="1290">
        <v>21</v>
      </c>
      <c r="V66" s="1290">
        <v>22</v>
      </c>
      <c r="W66" s="1290">
        <v>23</v>
      </c>
      <c r="X66" s="1290">
        <v>24</v>
      </c>
      <c r="Y66" s="1290">
        <v>25</v>
      </c>
      <c r="Z66" s="1290">
        <v>26</v>
      </c>
      <c r="AA66" s="1290">
        <v>27</v>
      </c>
      <c r="AB66" s="1290">
        <v>28</v>
      </c>
      <c r="AC66" s="1290">
        <v>29</v>
      </c>
      <c r="AD66" s="1290">
        <v>30</v>
      </c>
      <c r="AE66" s="1290">
        <v>31</v>
      </c>
      <c r="AF66" s="1290">
        <v>32</v>
      </c>
      <c r="AG66" s="1290">
        <v>33</v>
      </c>
      <c r="AH66" s="1290">
        <v>34</v>
      </c>
      <c r="AI66" s="1290">
        <v>35</v>
      </c>
      <c r="AJ66" s="1290">
        <v>36</v>
      </c>
      <c r="AK66" s="1290">
        <v>37</v>
      </c>
      <c r="AL66" s="1290">
        <v>38</v>
      </c>
      <c r="AM66" s="1290">
        <v>39</v>
      </c>
      <c r="AN66" s="1290">
        <v>40</v>
      </c>
      <c r="AO66" s="1290">
        <v>41</v>
      </c>
      <c r="AP66" s="1290">
        <v>42</v>
      </c>
      <c r="AQ66" s="1290">
        <v>43</v>
      </c>
      <c r="AR66" s="1290">
        <v>44</v>
      </c>
      <c r="AS66" s="1290">
        <v>45</v>
      </c>
      <c r="AT66" s="1290">
        <v>46</v>
      </c>
      <c r="AU66" s="1290">
        <v>47</v>
      </c>
      <c r="AV66" s="1290">
        <v>48</v>
      </c>
      <c r="AW66" s="1290">
        <v>49</v>
      </c>
      <c r="AX66" s="1290">
        <v>50</v>
      </c>
      <c r="AY66" s="1290">
        <v>51</v>
      </c>
      <c r="AZ66" s="1290">
        <v>52</v>
      </c>
      <c r="BA66" s="1290">
        <v>53</v>
      </c>
      <c r="BB66" s="1290">
        <v>54</v>
      </c>
      <c r="BC66" s="1290">
        <v>55</v>
      </c>
      <c r="BD66" s="1290">
        <v>56</v>
      </c>
      <c r="BE66" s="1290">
        <v>57</v>
      </c>
      <c r="BF66" s="1290">
        <v>58</v>
      </c>
      <c r="BG66" s="1290">
        <v>59</v>
      </c>
      <c r="BH66" s="1290">
        <v>60</v>
      </c>
      <c r="BI66" s="1290">
        <v>61</v>
      </c>
      <c r="BJ66" s="1290">
        <v>62</v>
      </c>
      <c r="BK66" s="1290">
        <v>63</v>
      </c>
      <c r="BL66" s="1290">
        <v>64</v>
      </c>
      <c r="BM66" s="1290">
        <v>65</v>
      </c>
    </row>
    <row r="67" spans="1:65" ht="15.75" thickBot="1">
      <c r="AW67" s="1383"/>
      <c r="AX67" s="1383"/>
      <c r="AY67" s="1383"/>
      <c r="AZ67" s="1383"/>
      <c r="BA67" s="1383"/>
    </row>
    <row r="68" spans="1:65" ht="30" customHeight="1">
      <c r="A68" s="1291"/>
      <c r="B68" s="1384"/>
      <c r="C68" s="1843" t="s">
        <v>81</v>
      </c>
      <c r="D68" s="1821"/>
      <c r="E68" s="1821"/>
      <c r="F68" s="1821"/>
      <c r="G68" s="1821"/>
      <c r="H68" s="1821"/>
      <c r="I68" s="1821"/>
      <c r="J68" s="1821"/>
      <c r="K68" s="1821"/>
      <c r="L68" s="1821"/>
      <c r="M68" s="1821"/>
      <c r="N68" s="1821"/>
      <c r="O68" s="1821"/>
      <c r="P68" s="1821"/>
      <c r="Q68" s="1821"/>
      <c r="R68" s="1821"/>
      <c r="S68" s="1821"/>
      <c r="T68" s="1821"/>
      <c r="U68" s="1821"/>
      <c r="V68" s="1821"/>
      <c r="W68" s="1821"/>
      <c r="X68" s="1821"/>
      <c r="Y68" s="1821"/>
      <c r="Z68" s="1821"/>
      <c r="AA68" s="1821"/>
      <c r="AB68" s="1821"/>
      <c r="AC68" s="1821"/>
      <c r="AD68" s="1821"/>
      <c r="AE68" s="1821"/>
      <c r="AF68" s="1821"/>
      <c r="AG68" s="1821"/>
      <c r="AH68" s="1821"/>
      <c r="AI68" s="1821"/>
      <c r="AJ68" s="1821"/>
      <c r="AK68" s="1821"/>
      <c r="AL68" s="1821"/>
      <c r="AM68" s="1821"/>
      <c r="AN68" s="1821"/>
      <c r="AO68" s="1821"/>
      <c r="AP68" s="1821"/>
      <c r="AQ68" s="1821"/>
      <c r="AR68" s="1822"/>
      <c r="AS68" s="1820" t="s">
        <v>396</v>
      </c>
      <c r="AT68" s="1821"/>
      <c r="AU68" s="1821"/>
      <c r="AV68" s="1821"/>
      <c r="AW68" s="1821"/>
      <c r="AX68" s="1821"/>
      <c r="AY68" s="1821"/>
      <c r="AZ68" s="1821"/>
      <c r="BA68" s="1821"/>
      <c r="BB68" s="1821"/>
      <c r="BC68" s="1821"/>
      <c r="BD68" s="1821"/>
      <c r="BE68" s="1821"/>
      <c r="BF68" s="1821"/>
      <c r="BG68" s="1821"/>
      <c r="BH68" s="1821"/>
      <c r="BI68" s="1821"/>
      <c r="BJ68" s="1821"/>
      <c r="BK68" s="1821"/>
      <c r="BL68" s="1821"/>
      <c r="BM68" s="1822"/>
    </row>
    <row r="69" spans="1:65" ht="60" customHeight="1">
      <c r="A69" s="1385"/>
      <c r="B69" s="1476"/>
      <c r="C69" s="1842" t="s">
        <v>148</v>
      </c>
      <c r="D69" s="1831"/>
      <c r="E69" s="1840" t="s">
        <v>149</v>
      </c>
      <c r="F69" s="1836"/>
      <c r="G69" s="1842" t="s">
        <v>150</v>
      </c>
      <c r="H69" s="1831"/>
      <c r="I69" s="1858" t="s">
        <v>161</v>
      </c>
      <c r="J69" s="1836"/>
      <c r="K69" s="1842" t="s">
        <v>160</v>
      </c>
      <c r="L69" s="1831"/>
      <c r="M69" s="1840" t="s">
        <v>159</v>
      </c>
      <c r="N69" s="1842"/>
      <c r="O69" s="1830" t="s">
        <v>49</v>
      </c>
      <c r="P69" s="1836"/>
      <c r="Q69" s="1830" t="s">
        <v>50</v>
      </c>
      <c r="R69" s="1836"/>
      <c r="S69" s="1840" t="s">
        <v>162</v>
      </c>
      <c r="T69" s="1841"/>
      <c r="U69" s="1840" t="s">
        <v>158</v>
      </c>
      <c r="V69" s="1841"/>
      <c r="W69" s="1840" t="s">
        <v>163</v>
      </c>
      <c r="X69" s="1841"/>
      <c r="Y69" s="1840" t="s">
        <v>156</v>
      </c>
      <c r="Z69" s="1841"/>
      <c r="AA69" s="1840" t="s">
        <v>155</v>
      </c>
      <c r="AB69" s="1842"/>
      <c r="AC69" s="1834" t="s">
        <v>157</v>
      </c>
      <c r="AD69" s="1835"/>
      <c r="AE69" s="1830" t="s">
        <v>196</v>
      </c>
      <c r="AF69" s="1836"/>
      <c r="AG69" s="1840" t="s">
        <v>154</v>
      </c>
      <c r="AH69" s="1841"/>
      <c r="AI69" s="1840" t="s">
        <v>153</v>
      </c>
      <c r="AJ69" s="1841"/>
      <c r="AK69" s="1840" t="s">
        <v>152</v>
      </c>
      <c r="AL69" s="1841"/>
      <c r="AM69" s="1840" t="s">
        <v>151</v>
      </c>
      <c r="AN69" s="1841"/>
      <c r="AO69" s="1830" t="s">
        <v>2</v>
      </c>
      <c r="AP69" s="1831"/>
      <c r="AQ69" s="1832" t="s">
        <v>164</v>
      </c>
      <c r="AR69" s="1833"/>
      <c r="AS69" s="1500" t="s">
        <v>148</v>
      </c>
      <c r="AT69" s="1479" t="s">
        <v>149</v>
      </c>
      <c r="AU69" s="1479" t="s">
        <v>150</v>
      </c>
      <c r="AV69" s="1479" t="s">
        <v>161</v>
      </c>
      <c r="AW69" s="1479" t="s">
        <v>160</v>
      </c>
      <c r="AX69" s="1479" t="s">
        <v>159</v>
      </c>
      <c r="AY69" s="1479" t="s">
        <v>397</v>
      </c>
      <c r="AZ69" s="1479" t="s">
        <v>398</v>
      </c>
      <c r="BA69" s="1479" t="s">
        <v>162</v>
      </c>
      <c r="BB69" s="1823" t="s">
        <v>399</v>
      </c>
      <c r="BC69" s="1479" t="s">
        <v>400</v>
      </c>
      <c r="BD69" s="1479" t="s">
        <v>401</v>
      </c>
      <c r="BE69" s="1479" t="s">
        <v>402</v>
      </c>
      <c r="BF69" s="1481" t="s">
        <v>403</v>
      </c>
      <c r="BG69" s="1480" t="s">
        <v>196</v>
      </c>
      <c r="BH69" s="1479" t="s">
        <v>154</v>
      </c>
      <c r="BI69" s="1479" t="s">
        <v>153</v>
      </c>
      <c r="BJ69" s="1479" t="s">
        <v>152</v>
      </c>
      <c r="BK69" s="1479" t="s">
        <v>404</v>
      </c>
      <c r="BL69" s="1511" t="s">
        <v>2</v>
      </c>
      <c r="BM69" s="1515" t="s">
        <v>405</v>
      </c>
    </row>
    <row r="70" spans="1:65" ht="24.95" customHeight="1">
      <c r="A70" s="1385"/>
      <c r="B70" s="1386" t="s">
        <v>165</v>
      </c>
      <c r="C70" s="1387" t="s">
        <v>43</v>
      </c>
      <c r="D70" s="1388" t="s">
        <v>32</v>
      </c>
      <c r="E70" s="1388" t="s">
        <v>43</v>
      </c>
      <c r="F70" s="1388" t="s">
        <v>32</v>
      </c>
      <c r="G70" s="1388" t="s">
        <v>43</v>
      </c>
      <c r="H70" s="1388" t="s">
        <v>32</v>
      </c>
      <c r="I70" s="1388" t="s">
        <v>43</v>
      </c>
      <c r="J70" s="1388" t="s">
        <v>32</v>
      </c>
      <c r="K70" s="1388" t="s">
        <v>43</v>
      </c>
      <c r="L70" s="1388" t="s">
        <v>32</v>
      </c>
      <c r="M70" s="1388" t="s">
        <v>43</v>
      </c>
      <c r="N70" s="1388" t="s">
        <v>32</v>
      </c>
      <c r="O70" s="1388" t="s">
        <v>43</v>
      </c>
      <c r="P70" s="1388" t="s">
        <v>32</v>
      </c>
      <c r="Q70" s="1388" t="s">
        <v>43</v>
      </c>
      <c r="R70" s="1388" t="s">
        <v>32</v>
      </c>
      <c r="S70" s="1388" t="s">
        <v>43</v>
      </c>
      <c r="T70" s="1388" t="s">
        <v>32</v>
      </c>
      <c r="U70" s="1388" t="s">
        <v>43</v>
      </c>
      <c r="V70" s="1388" t="s">
        <v>32</v>
      </c>
      <c r="W70" s="1388" t="s">
        <v>43</v>
      </c>
      <c r="X70" s="1388" t="s">
        <v>32</v>
      </c>
      <c r="Y70" s="1388" t="s">
        <v>43</v>
      </c>
      <c r="Z70" s="1388" t="s">
        <v>32</v>
      </c>
      <c r="AA70" s="1388" t="s">
        <v>43</v>
      </c>
      <c r="AB70" s="1388" t="s">
        <v>32</v>
      </c>
      <c r="AC70" s="1388" t="s">
        <v>43</v>
      </c>
      <c r="AD70" s="1388" t="s">
        <v>32</v>
      </c>
      <c r="AE70" s="1388" t="s">
        <v>43</v>
      </c>
      <c r="AF70" s="1388" t="s">
        <v>32</v>
      </c>
      <c r="AG70" s="1388" t="s">
        <v>43</v>
      </c>
      <c r="AH70" s="1388" t="s">
        <v>32</v>
      </c>
      <c r="AI70" s="1388" t="s">
        <v>43</v>
      </c>
      <c r="AJ70" s="1388" t="s">
        <v>32</v>
      </c>
      <c r="AK70" s="1388" t="s">
        <v>43</v>
      </c>
      <c r="AL70" s="1388" t="s">
        <v>32</v>
      </c>
      <c r="AM70" s="1388" t="s">
        <v>43</v>
      </c>
      <c r="AN70" s="1388" t="s">
        <v>32</v>
      </c>
      <c r="AO70" s="1388" t="s">
        <v>43</v>
      </c>
      <c r="AP70" s="1490" t="s">
        <v>32</v>
      </c>
      <c r="AQ70" s="1496" t="s">
        <v>43</v>
      </c>
      <c r="AR70" s="1497" t="s">
        <v>32</v>
      </c>
      <c r="AS70" s="1488"/>
      <c r="AT70" s="1323"/>
      <c r="AU70" s="1323"/>
      <c r="AV70" s="1323"/>
      <c r="AW70" s="1323"/>
      <c r="AX70" s="1323"/>
      <c r="AY70" s="1323"/>
      <c r="AZ70" s="1323"/>
      <c r="BA70" s="1323"/>
      <c r="BB70" s="1824"/>
      <c r="BC70" s="1323"/>
      <c r="BD70" s="1323"/>
      <c r="BE70" s="1323"/>
      <c r="BF70" s="1323"/>
      <c r="BG70" s="1323"/>
      <c r="BH70" s="1323"/>
      <c r="BI70" s="1323"/>
      <c r="BJ70" s="1323"/>
      <c r="BK70" s="1323"/>
      <c r="BL70" s="1491"/>
      <c r="BM70" s="1516"/>
    </row>
    <row r="71" spans="1:65" ht="24.95" customHeight="1">
      <c r="A71" s="1390"/>
      <c r="B71" s="1391"/>
      <c r="C71" s="1387" t="s">
        <v>18</v>
      </c>
      <c r="D71" s="1324" t="s">
        <v>18</v>
      </c>
      <c r="E71" s="1323" t="s">
        <v>18</v>
      </c>
      <c r="F71" s="1324" t="s">
        <v>18</v>
      </c>
      <c r="G71" s="1323" t="s">
        <v>18</v>
      </c>
      <c r="H71" s="1322" t="s">
        <v>18</v>
      </c>
      <c r="I71" s="1322" t="s">
        <v>18</v>
      </c>
      <c r="J71" s="1322" t="s">
        <v>18</v>
      </c>
      <c r="K71" s="1322" t="s">
        <v>18</v>
      </c>
      <c r="L71" s="1322" t="s">
        <v>18</v>
      </c>
      <c r="M71" s="1322" t="s">
        <v>18</v>
      </c>
      <c r="N71" s="1322" t="s">
        <v>18</v>
      </c>
      <c r="O71" s="1322" t="s">
        <v>18</v>
      </c>
      <c r="P71" s="1323" t="s">
        <v>18</v>
      </c>
      <c r="Q71" s="1322" t="s">
        <v>18</v>
      </c>
      <c r="R71" s="1322" t="s">
        <v>18</v>
      </c>
      <c r="S71" s="1322" t="s">
        <v>18</v>
      </c>
      <c r="T71" s="1322" t="s">
        <v>18</v>
      </c>
      <c r="U71" s="1322" t="s">
        <v>18</v>
      </c>
      <c r="V71" s="1322" t="s">
        <v>18</v>
      </c>
      <c r="W71" s="1323" t="s">
        <v>18</v>
      </c>
      <c r="X71" s="1324" t="s">
        <v>18</v>
      </c>
      <c r="Y71" s="1323" t="s">
        <v>18</v>
      </c>
      <c r="Z71" s="1323" t="s">
        <v>18</v>
      </c>
      <c r="AA71" s="1323" t="s">
        <v>18</v>
      </c>
      <c r="AB71" s="1323" t="s">
        <v>18</v>
      </c>
      <c r="AC71" s="1323" t="s">
        <v>18</v>
      </c>
      <c r="AD71" s="1323" t="s">
        <v>18</v>
      </c>
      <c r="AE71" s="1323" t="s">
        <v>18</v>
      </c>
      <c r="AF71" s="1323" t="s">
        <v>18</v>
      </c>
      <c r="AG71" s="1322" t="s">
        <v>18</v>
      </c>
      <c r="AH71" s="1323" t="s">
        <v>18</v>
      </c>
      <c r="AI71" s="1323" t="s">
        <v>18</v>
      </c>
      <c r="AJ71" s="1323" t="s">
        <v>18</v>
      </c>
      <c r="AK71" s="1323" t="s">
        <v>18</v>
      </c>
      <c r="AL71" s="1323" t="s">
        <v>18</v>
      </c>
      <c r="AM71" s="1387" t="s">
        <v>18</v>
      </c>
      <c r="AN71" s="1323" t="s">
        <v>18</v>
      </c>
      <c r="AO71" s="1324" t="s">
        <v>18</v>
      </c>
      <c r="AP71" s="1491" t="s">
        <v>18</v>
      </c>
      <c r="AQ71" s="1392" t="s">
        <v>18</v>
      </c>
      <c r="AR71" s="1325" t="s">
        <v>18</v>
      </c>
      <c r="AS71" s="1488" t="s">
        <v>18</v>
      </c>
      <c r="AT71" s="1387" t="s">
        <v>18</v>
      </c>
      <c r="AU71" s="1323" t="s">
        <v>18</v>
      </c>
      <c r="AV71" s="1324" t="s">
        <v>18</v>
      </c>
      <c r="AW71" s="1323" t="s">
        <v>18</v>
      </c>
      <c r="AX71" s="1322" t="s">
        <v>18</v>
      </c>
      <c r="AY71" s="1322" t="s">
        <v>18</v>
      </c>
      <c r="AZ71" s="1322" t="s">
        <v>18</v>
      </c>
      <c r="BA71" s="1322" t="s">
        <v>18</v>
      </c>
      <c r="BB71" s="1322" t="s">
        <v>18</v>
      </c>
      <c r="BC71" s="1322" t="s">
        <v>18</v>
      </c>
      <c r="BD71" s="1322" t="s">
        <v>18</v>
      </c>
      <c r="BE71" s="1322" t="s">
        <v>18</v>
      </c>
      <c r="BF71" s="1323" t="s">
        <v>18</v>
      </c>
      <c r="BG71" s="1322" t="s">
        <v>18</v>
      </c>
      <c r="BH71" s="1322" t="s">
        <v>18</v>
      </c>
      <c r="BI71" s="1322" t="s">
        <v>18</v>
      </c>
      <c r="BJ71" s="1322" t="s">
        <v>18</v>
      </c>
      <c r="BK71" s="1322" t="s">
        <v>18</v>
      </c>
      <c r="BL71" s="1387" t="s">
        <v>18</v>
      </c>
      <c r="BM71" s="1516" t="s">
        <v>18</v>
      </c>
    </row>
    <row r="72" spans="1:65" ht="24.95" customHeight="1">
      <c r="A72" s="1393"/>
      <c r="B72" s="1373"/>
      <c r="C72" s="1482">
        <v>1</v>
      </c>
      <c r="D72" s="1483">
        <v>2</v>
      </c>
      <c r="E72" s="1484">
        <v>3</v>
      </c>
      <c r="F72" s="1485">
        <v>4</v>
      </c>
      <c r="G72" s="1485">
        <v>5</v>
      </c>
      <c r="H72" s="1485">
        <v>6</v>
      </c>
      <c r="I72" s="1485">
        <v>7</v>
      </c>
      <c r="J72" s="1485">
        <v>8</v>
      </c>
      <c r="K72" s="1482">
        <v>9</v>
      </c>
      <c r="L72" s="1483">
        <v>10</v>
      </c>
      <c r="M72" s="1484">
        <v>11</v>
      </c>
      <c r="N72" s="1485">
        <v>12</v>
      </c>
      <c r="O72" s="1485">
        <v>13</v>
      </c>
      <c r="P72" s="1485">
        <v>14</v>
      </c>
      <c r="Q72" s="1485">
        <v>15</v>
      </c>
      <c r="R72" s="1485">
        <v>16</v>
      </c>
      <c r="S72" s="1482">
        <v>17</v>
      </c>
      <c r="T72" s="1483">
        <v>18</v>
      </c>
      <c r="U72" s="1484">
        <v>19</v>
      </c>
      <c r="V72" s="1485">
        <v>20</v>
      </c>
      <c r="W72" s="1485">
        <v>21</v>
      </c>
      <c r="X72" s="1485">
        <v>22</v>
      </c>
      <c r="Y72" s="1485">
        <v>23</v>
      </c>
      <c r="Z72" s="1485">
        <v>24</v>
      </c>
      <c r="AA72" s="1482">
        <v>25</v>
      </c>
      <c r="AB72" s="1483">
        <v>26</v>
      </c>
      <c r="AC72" s="1484">
        <v>27</v>
      </c>
      <c r="AD72" s="1485">
        <v>28</v>
      </c>
      <c r="AE72" s="1485">
        <v>29</v>
      </c>
      <c r="AF72" s="1485">
        <v>30</v>
      </c>
      <c r="AG72" s="1485">
        <v>31</v>
      </c>
      <c r="AH72" s="1485">
        <v>32</v>
      </c>
      <c r="AI72" s="1482">
        <v>33</v>
      </c>
      <c r="AJ72" s="1483">
        <v>34</v>
      </c>
      <c r="AK72" s="1484">
        <v>35</v>
      </c>
      <c r="AL72" s="1485">
        <v>36</v>
      </c>
      <c r="AM72" s="1485">
        <v>37</v>
      </c>
      <c r="AN72" s="1485">
        <v>38</v>
      </c>
      <c r="AO72" s="1485">
        <v>39</v>
      </c>
      <c r="AP72" s="1484">
        <v>40</v>
      </c>
      <c r="AQ72" s="1498">
        <v>41</v>
      </c>
      <c r="AR72" s="1507">
        <v>42</v>
      </c>
      <c r="AS72" s="1487">
        <v>43</v>
      </c>
      <c r="AT72" s="1487">
        <v>44</v>
      </c>
      <c r="AU72" s="1485">
        <v>45</v>
      </c>
      <c r="AV72" s="1485">
        <v>46</v>
      </c>
      <c r="AW72" s="1485">
        <v>47</v>
      </c>
      <c r="AX72" s="1485">
        <v>48</v>
      </c>
      <c r="AY72" s="1489">
        <v>49</v>
      </c>
      <c r="AZ72" s="1484">
        <v>50</v>
      </c>
      <c r="BA72" s="1484">
        <v>51</v>
      </c>
      <c r="BB72" s="1485">
        <v>52</v>
      </c>
      <c r="BC72" s="1485">
        <v>53</v>
      </c>
      <c r="BD72" s="1485">
        <v>54</v>
      </c>
      <c r="BE72" s="1485">
        <v>55</v>
      </c>
      <c r="BF72" s="1485">
        <v>56</v>
      </c>
      <c r="BG72" s="1489">
        <v>57</v>
      </c>
      <c r="BH72" s="1484">
        <v>58</v>
      </c>
      <c r="BI72" s="1484">
        <v>59</v>
      </c>
      <c r="BJ72" s="1485">
        <v>60</v>
      </c>
      <c r="BK72" s="1485">
        <v>61</v>
      </c>
      <c r="BL72" s="1484">
        <v>62</v>
      </c>
      <c r="BM72" s="1517">
        <v>63</v>
      </c>
    </row>
    <row r="73" spans="1:65" ht="30" customHeight="1">
      <c r="A73" s="1394">
        <v>1</v>
      </c>
      <c r="B73" s="17" t="s">
        <v>12</v>
      </c>
      <c r="C73" s="18">
        <v>495.7</v>
      </c>
      <c r="D73" s="18">
        <v>84.100000000000009</v>
      </c>
      <c r="E73" s="18">
        <v>33.5</v>
      </c>
      <c r="F73" s="18">
        <v>17.5</v>
      </c>
      <c r="G73" s="18">
        <v>313.8</v>
      </c>
      <c r="H73" s="18">
        <v>61.15</v>
      </c>
      <c r="I73" s="18">
        <v>72</v>
      </c>
      <c r="J73" s="18">
        <v>33</v>
      </c>
      <c r="K73" s="18">
        <v>1691</v>
      </c>
      <c r="L73" s="18">
        <v>233.5</v>
      </c>
      <c r="M73" s="18">
        <v>111.2</v>
      </c>
      <c r="N73" s="18">
        <v>74.5</v>
      </c>
      <c r="O73" s="18">
        <v>12</v>
      </c>
      <c r="P73" s="18">
        <v>1.8</v>
      </c>
      <c r="Q73" s="18">
        <v>1164.75</v>
      </c>
      <c r="R73" s="18">
        <v>167.23999999999998</v>
      </c>
      <c r="S73" s="18">
        <v>358</v>
      </c>
      <c r="T73" s="18">
        <v>18.100000000000001</v>
      </c>
      <c r="U73" s="18">
        <v>23.75</v>
      </c>
      <c r="V73" s="18">
        <v>10</v>
      </c>
      <c r="W73" s="18">
        <v>0</v>
      </c>
      <c r="X73" s="18">
        <v>0</v>
      </c>
      <c r="Y73" s="18">
        <v>25</v>
      </c>
      <c r="Z73" s="18">
        <v>31</v>
      </c>
      <c r="AA73" s="18">
        <v>36</v>
      </c>
      <c r="AB73" s="18">
        <v>34.800000000000004</v>
      </c>
      <c r="AC73" s="18">
        <v>2</v>
      </c>
      <c r="AD73" s="18">
        <v>5.5</v>
      </c>
      <c r="AE73" s="18">
        <v>0</v>
      </c>
      <c r="AF73" s="18">
        <v>0</v>
      </c>
      <c r="AG73" s="18">
        <v>590</v>
      </c>
      <c r="AH73" s="18">
        <v>36.75</v>
      </c>
      <c r="AI73" s="18">
        <v>186.33</v>
      </c>
      <c r="AJ73" s="18">
        <v>90.37</v>
      </c>
      <c r="AK73" s="18">
        <v>821.74</v>
      </c>
      <c r="AL73" s="18">
        <v>49.92</v>
      </c>
      <c r="AM73" s="18">
        <v>169.5</v>
      </c>
      <c r="AN73" s="18">
        <v>71.666666666666657</v>
      </c>
      <c r="AO73" s="19">
        <f>SUMIF($C$70:$AN$70,AO$70,$C73:$AN73)</f>
        <v>6106.2699999999995</v>
      </c>
      <c r="AP73" s="1492">
        <f>SUMIF($C$70:$AN$70,AP$70,$C73:$AN73)</f>
        <v>1020.8966666666665</v>
      </c>
      <c r="AQ73" s="1508">
        <v>0</v>
      </c>
      <c r="AR73" s="1499">
        <v>0</v>
      </c>
      <c r="AS73" s="1501"/>
      <c r="AT73" s="1501"/>
      <c r="AU73" s="1501"/>
      <c r="AV73" s="1501"/>
      <c r="AW73" s="1501"/>
      <c r="AX73" s="1501"/>
      <c r="AY73" s="1501"/>
      <c r="AZ73" s="1501"/>
      <c r="BA73" s="1501"/>
      <c r="BB73" s="1501"/>
      <c r="BC73" s="1501"/>
      <c r="BD73" s="1501"/>
      <c r="BE73" s="1501"/>
      <c r="BF73" s="1501"/>
      <c r="BG73" s="1501"/>
      <c r="BH73" s="1501"/>
      <c r="BI73" s="1501"/>
      <c r="BJ73" s="1501"/>
      <c r="BK73" s="1501"/>
      <c r="BL73" s="1512"/>
      <c r="BM73" s="1518"/>
    </row>
    <row r="74" spans="1:65" ht="30" customHeight="1">
      <c r="A74" s="1394"/>
      <c r="B74" s="20" t="s">
        <v>9</v>
      </c>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1493"/>
      <c r="AQ74" s="1509"/>
      <c r="AR74" s="22"/>
      <c r="AS74" s="1502"/>
      <c r="AT74" s="1502"/>
      <c r="AU74" s="1502"/>
      <c r="AV74" s="1502"/>
      <c r="AW74" s="1502"/>
      <c r="AX74" s="1502"/>
      <c r="AY74" s="1502"/>
      <c r="AZ74" s="1502"/>
      <c r="BA74" s="1502"/>
      <c r="BB74" s="1502"/>
      <c r="BC74" s="1502"/>
      <c r="BD74" s="1502"/>
      <c r="BE74" s="1502"/>
      <c r="BF74" s="1502"/>
      <c r="BG74" s="1502"/>
      <c r="BH74" s="1502"/>
      <c r="BI74" s="1502"/>
      <c r="BJ74" s="1502"/>
      <c r="BK74" s="1502"/>
      <c r="BL74" s="1495"/>
      <c r="BM74" s="1519"/>
    </row>
    <row r="75" spans="1:65" ht="24.95" customHeight="1">
      <c r="A75" s="1394"/>
      <c r="B75" s="23" t="s">
        <v>89</v>
      </c>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1493"/>
      <c r="AQ75" s="1509"/>
      <c r="AR75" s="22"/>
      <c r="AS75" s="1502"/>
      <c r="AT75" s="1502"/>
      <c r="AU75" s="1502"/>
      <c r="AV75" s="1502"/>
      <c r="AW75" s="1502"/>
      <c r="AX75" s="1502"/>
      <c r="AY75" s="1502"/>
      <c r="AZ75" s="1502"/>
      <c r="BA75" s="1502"/>
      <c r="BB75" s="1502"/>
      <c r="BC75" s="1502"/>
      <c r="BD75" s="1502"/>
      <c r="BE75" s="1502"/>
      <c r="BF75" s="1502"/>
      <c r="BG75" s="1502"/>
      <c r="BH75" s="1502"/>
      <c r="BI75" s="1502"/>
      <c r="BJ75" s="1502"/>
      <c r="BK75" s="1502"/>
      <c r="BL75" s="1495"/>
      <c r="BM75" s="1519"/>
    </row>
    <row r="76" spans="1:65" ht="21.95" customHeight="1">
      <c r="A76" s="1546">
        <v>2</v>
      </c>
      <c r="B76" s="24" t="s">
        <v>90</v>
      </c>
      <c r="C76" s="1477">
        <v>0</v>
      </c>
      <c r="D76" s="26">
        <v>0</v>
      </c>
      <c r="E76" s="1477">
        <v>0</v>
      </c>
      <c r="F76" s="26">
        <v>0</v>
      </c>
      <c r="G76" s="1477">
        <v>0</v>
      </c>
      <c r="H76" s="26">
        <v>0</v>
      </c>
      <c r="I76" s="1477">
        <v>0</v>
      </c>
      <c r="J76" s="26">
        <v>0</v>
      </c>
      <c r="K76" s="1477">
        <v>0</v>
      </c>
      <c r="L76" s="26">
        <v>0</v>
      </c>
      <c r="M76" s="1477">
        <v>0</v>
      </c>
      <c r="N76" s="26">
        <v>0</v>
      </c>
      <c r="O76" s="1477">
        <v>0</v>
      </c>
      <c r="P76" s="26">
        <v>0</v>
      </c>
      <c r="Q76" s="1477">
        <v>0</v>
      </c>
      <c r="R76" s="26">
        <v>0</v>
      </c>
      <c r="S76" s="1477">
        <v>0</v>
      </c>
      <c r="T76" s="26">
        <v>0</v>
      </c>
      <c r="U76" s="1477">
        <v>0</v>
      </c>
      <c r="V76" s="26">
        <v>0</v>
      </c>
      <c r="W76" s="1477">
        <v>0</v>
      </c>
      <c r="X76" s="26">
        <v>0</v>
      </c>
      <c r="Y76" s="1477">
        <v>0</v>
      </c>
      <c r="Z76" s="26">
        <v>0</v>
      </c>
      <c r="AA76" s="1477">
        <v>0</v>
      </c>
      <c r="AB76" s="26">
        <v>0</v>
      </c>
      <c r="AC76" s="1477">
        <v>0</v>
      </c>
      <c r="AD76" s="26">
        <v>0</v>
      </c>
      <c r="AE76" s="1477">
        <v>0</v>
      </c>
      <c r="AF76" s="26">
        <v>0</v>
      </c>
      <c r="AG76" s="1477">
        <v>0</v>
      </c>
      <c r="AH76" s="26">
        <v>0</v>
      </c>
      <c r="AI76" s="1477">
        <v>0</v>
      </c>
      <c r="AJ76" s="26">
        <v>0</v>
      </c>
      <c r="AK76" s="1477">
        <v>0</v>
      </c>
      <c r="AL76" s="26">
        <v>0</v>
      </c>
      <c r="AM76" s="1477">
        <v>111</v>
      </c>
      <c r="AN76" s="26">
        <v>0</v>
      </c>
      <c r="AO76" s="27">
        <f>SUMIF($C$70:$AN$70,AO$70,$C76:$AN76)</f>
        <v>111</v>
      </c>
      <c r="AP76" s="1494">
        <f>SUMIF($C$70:$AN$70,AP$70,$C76:$AN76)</f>
        <v>0</v>
      </c>
      <c r="AQ76" s="1510">
        <v>0</v>
      </c>
      <c r="AR76" s="28">
        <v>0</v>
      </c>
      <c r="AS76" s="1501"/>
      <c r="AT76" s="1501"/>
      <c r="AU76" s="1501"/>
      <c r="AV76" s="1501"/>
      <c r="AW76" s="1501"/>
      <c r="AX76" s="1501"/>
      <c r="AY76" s="1501"/>
      <c r="AZ76" s="1501"/>
      <c r="BA76" s="1501"/>
      <c r="BB76" s="1501"/>
      <c r="BC76" s="1501"/>
      <c r="BD76" s="1501"/>
      <c r="BE76" s="1501"/>
      <c r="BF76" s="1501"/>
      <c r="BG76" s="1501"/>
      <c r="BH76" s="1501"/>
      <c r="BI76" s="1501"/>
      <c r="BJ76" s="1501"/>
      <c r="BK76" s="1501"/>
      <c r="BL76" s="1495"/>
      <c r="BM76" s="1518"/>
    </row>
    <row r="77" spans="1:65" ht="24.95" customHeight="1">
      <c r="A77" s="1546">
        <v>3</v>
      </c>
      <c r="B77" s="23" t="s">
        <v>91</v>
      </c>
      <c r="C77" s="1477">
        <v>490.5</v>
      </c>
      <c r="D77" s="26">
        <v>61.2</v>
      </c>
      <c r="E77" s="1477">
        <v>78</v>
      </c>
      <c r="F77" s="26">
        <v>53.4</v>
      </c>
      <c r="G77" s="1477">
        <v>371</v>
      </c>
      <c r="H77" s="26">
        <v>442.75</v>
      </c>
      <c r="I77" s="1477">
        <v>565</v>
      </c>
      <c r="J77" s="26">
        <v>248.2</v>
      </c>
      <c r="K77" s="1477">
        <v>863</v>
      </c>
      <c r="L77" s="26">
        <v>153.19999999999999</v>
      </c>
      <c r="M77" s="1477">
        <v>302.75</v>
      </c>
      <c r="N77" s="26">
        <v>124.85</v>
      </c>
      <c r="O77" s="1477">
        <v>153</v>
      </c>
      <c r="P77" s="26">
        <v>0</v>
      </c>
      <c r="Q77" s="1477">
        <v>891.9</v>
      </c>
      <c r="R77" s="26">
        <v>298.22300000000001</v>
      </c>
      <c r="S77" s="1477">
        <v>446.7</v>
      </c>
      <c r="T77" s="26">
        <v>75.69</v>
      </c>
      <c r="U77" s="1477">
        <v>16.5</v>
      </c>
      <c r="V77" s="26">
        <v>82.9</v>
      </c>
      <c r="W77" s="1477">
        <v>0</v>
      </c>
      <c r="X77" s="26">
        <v>128.32999999999998</v>
      </c>
      <c r="Y77" s="1477">
        <v>149</v>
      </c>
      <c r="Z77" s="26">
        <v>166.31</v>
      </c>
      <c r="AA77" s="1477">
        <v>170.5</v>
      </c>
      <c r="AB77" s="26">
        <v>208.98</v>
      </c>
      <c r="AC77" s="1477">
        <v>69</v>
      </c>
      <c r="AD77" s="26">
        <v>3</v>
      </c>
      <c r="AE77" s="1477">
        <v>0</v>
      </c>
      <c r="AF77" s="26">
        <v>8.5</v>
      </c>
      <c r="AG77" s="1477">
        <v>324.75</v>
      </c>
      <c r="AH77" s="26">
        <v>29.39</v>
      </c>
      <c r="AI77" s="1477">
        <v>255</v>
      </c>
      <c r="AJ77" s="26">
        <v>181.24</v>
      </c>
      <c r="AK77" s="1477">
        <v>389.41</v>
      </c>
      <c r="AL77" s="26">
        <v>53.19</v>
      </c>
      <c r="AM77" s="1477">
        <v>208</v>
      </c>
      <c r="AN77" s="26">
        <v>194.75</v>
      </c>
      <c r="AO77" s="27">
        <f>SUMIF($C$70:$AN$70,AO$70,$C77:$AN77)</f>
        <v>5744.01</v>
      </c>
      <c r="AP77" s="1494">
        <f>SUMIF($C$70:$AN$70,AP$70,$C77:$AN77)</f>
        <v>2514.1029999999996</v>
      </c>
      <c r="AQ77" s="1510">
        <v>0</v>
      </c>
      <c r="AR77" s="28">
        <v>96.5</v>
      </c>
      <c r="AS77" s="1503">
        <v>0</v>
      </c>
      <c r="AT77" s="1503">
        <v>0</v>
      </c>
      <c r="AU77" s="1503">
        <v>0</v>
      </c>
      <c r="AV77" s="1503">
        <v>6</v>
      </c>
      <c r="AW77" s="1503">
        <v>0</v>
      </c>
      <c r="AX77" s="1503">
        <v>0</v>
      </c>
      <c r="AY77" s="1503">
        <v>0</v>
      </c>
      <c r="AZ77" s="1503">
        <v>27</v>
      </c>
      <c r="BA77" s="1503">
        <v>0</v>
      </c>
      <c r="BB77" s="1503">
        <v>0</v>
      </c>
      <c r="BC77" s="1503">
        <v>0</v>
      </c>
      <c r="BD77" s="1503">
        <v>0</v>
      </c>
      <c r="BE77" s="1503">
        <v>0</v>
      </c>
      <c r="BF77" s="1503">
        <v>0</v>
      </c>
      <c r="BG77" s="1503">
        <v>0</v>
      </c>
      <c r="BH77" s="1503">
        <v>0</v>
      </c>
      <c r="BI77" s="1503">
        <v>0</v>
      </c>
      <c r="BJ77" s="1503">
        <v>2</v>
      </c>
      <c r="BK77" s="1503">
        <v>0</v>
      </c>
      <c r="BL77" s="1525">
        <f>SUM(AS77:BK77)</f>
        <v>35</v>
      </c>
      <c r="BM77" s="1520">
        <v>0</v>
      </c>
    </row>
    <row r="78" spans="1:65" ht="30" customHeight="1">
      <c r="A78" s="1394"/>
      <c r="B78" s="23" t="s">
        <v>2</v>
      </c>
      <c r="C78" s="27">
        <f>SUM(C76:C77)</f>
        <v>490.5</v>
      </c>
      <c r="D78" s="27">
        <f t="shared" ref="D78:F78" si="57">SUM(D76:D77)</f>
        <v>61.2</v>
      </c>
      <c r="E78" s="27">
        <f>SUM(E76:E77)</f>
        <v>78</v>
      </c>
      <c r="F78" s="27">
        <f t="shared" si="57"/>
        <v>53.4</v>
      </c>
      <c r="G78" s="27">
        <f>SUM(G76:G77)</f>
        <v>371</v>
      </c>
      <c r="H78" s="27">
        <f t="shared" ref="H78" si="58">SUM(H76:H77)</f>
        <v>442.75</v>
      </c>
      <c r="I78" s="27">
        <f>SUM(I76:I77)</f>
        <v>565</v>
      </c>
      <c r="J78" s="27">
        <f t="shared" ref="J78" si="59">SUM(J76:J77)</f>
        <v>248.2</v>
      </c>
      <c r="K78" s="27">
        <f>SUM(K76:K77)</f>
        <v>863</v>
      </c>
      <c r="L78" s="27">
        <f t="shared" ref="L78" si="60">SUM(L76:L77)</f>
        <v>153.19999999999999</v>
      </c>
      <c r="M78" s="27">
        <f>SUM(M76:M77)</f>
        <v>302.75</v>
      </c>
      <c r="N78" s="27">
        <f t="shared" ref="N78" si="61">SUM(N76:N77)</f>
        <v>124.85</v>
      </c>
      <c r="O78" s="27">
        <f>SUM(O76:O77)</f>
        <v>153</v>
      </c>
      <c r="P78" s="27">
        <f t="shared" ref="P78" si="62">SUM(P76:P77)</f>
        <v>0</v>
      </c>
      <c r="Q78" s="27">
        <f>SUM(Q76:Q77)</f>
        <v>891.9</v>
      </c>
      <c r="R78" s="27">
        <f t="shared" ref="R78" si="63">SUM(R76:R77)</f>
        <v>298.22300000000001</v>
      </c>
      <c r="S78" s="27">
        <f>SUM(S76:S77)</f>
        <v>446.7</v>
      </c>
      <c r="T78" s="27">
        <f t="shared" ref="T78" si="64">SUM(T76:T77)</f>
        <v>75.69</v>
      </c>
      <c r="U78" s="27">
        <f>SUM(U76:U77)</f>
        <v>16.5</v>
      </c>
      <c r="V78" s="27">
        <f t="shared" ref="V78" si="65">SUM(V76:V77)</f>
        <v>82.9</v>
      </c>
      <c r="W78" s="27">
        <f>SUM(W76:W77)</f>
        <v>0</v>
      </c>
      <c r="X78" s="27">
        <f t="shared" ref="X78" si="66">SUM(X76:X77)</f>
        <v>128.32999999999998</v>
      </c>
      <c r="Y78" s="27">
        <f>SUM(Y76:Y77)</f>
        <v>149</v>
      </c>
      <c r="Z78" s="27">
        <f t="shared" ref="Z78" si="67">SUM(Z76:Z77)</f>
        <v>166.31</v>
      </c>
      <c r="AA78" s="27">
        <f>SUM(AA76:AA77)</f>
        <v>170.5</v>
      </c>
      <c r="AB78" s="27">
        <f t="shared" ref="AB78" si="68">SUM(AB76:AB77)</f>
        <v>208.98</v>
      </c>
      <c r="AC78" s="27">
        <f>SUM(AC76:AC77)</f>
        <v>69</v>
      </c>
      <c r="AD78" s="27">
        <f t="shared" ref="AD78" si="69">SUM(AD76:AD77)</f>
        <v>3</v>
      </c>
      <c r="AE78" s="27">
        <f>SUM(AE76:AE77)</f>
        <v>0</v>
      </c>
      <c r="AF78" s="27">
        <f t="shared" ref="AF78" si="70">SUM(AF76:AF77)</f>
        <v>8.5</v>
      </c>
      <c r="AG78" s="27">
        <f>SUM(AG76:AG77)</f>
        <v>324.75</v>
      </c>
      <c r="AH78" s="27">
        <f t="shared" ref="AH78" si="71">SUM(AH76:AH77)</f>
        <v>29.39</v>
      </c>
      <c r="AI78" s="27">
        <f>SUM(AI76:AI77)</f>
        <v>255</v>
      </c>
      <c r="AJ78" s="27">
        <f t="shared" ref="AJ78" si="72">SUM(AJ76:AJ77)</f>
        <v>181.24</v>
      </c>
      <c r="AK78" s="27">
        <f>SUM(AK76:AK77)</f>
        <v>389.41</v>
      </c>
      <c r="AL78" s="27">
        <f t="shared" ref="AL78:AN78" si="73">SUM(AL76:AL77)</f>
        <v>53.19</v>
      </c>
      <c r="AM78" s="27">
        <f>SUM(AM76:AM77)</f>
        <v>319</v>
      </c>
      <c r="AN78" s="27">
        <f t="shared" si="73"/>
        <v>194.75</v>
      </c>
      <c r="AO78" s="27">
        <f t="shared" ref="AO78:AP78" si="74">SUM(AO76:AO77)</f>
        <v>5855.01</v>
      </c>
      <c r="AP78" s="1494">
        <f t="shared" si="74"/>
        <v>2514.1029999999996</v>
      </c>
      <c r="AQ78" s="580">
        <f>SUM(AQ76:AQ77)</f>
        <v>0</v>
      </c>
      <c r="AR78" s="29">
        <f t="shared" ref="AR78" si="75">SUM(AR76:AR77)</f>
        <v>96.5</v>
      </c>
      <c r="AS78" s="1501"/>
      <c r="AT78" s="1501"/>
      <c r="AU78" s="1501"/>
      <c r="AV78" s="1501"/>
      <c r="AW78" s="1501"/>
      <c r="AX78" s="1501"/>
      <c r="AY78" s="1501"/>
      <c r="AZ78" s="1501"/>
      <c r="BA78" s="1501"/>
      <c r="BB78" s="1501"/>
      <c r="BC78" s="1501"/>
      <c r="BD78" s="1501"/>
      <c r="BE78" s="1501"/>
      <c r="BF78" s="1501"/>
      <c r="BG78" s="1501"/>
      <c r="BH78" s="1501"/>
      <c r="BI78" s="1501"/>
      <c r="BJ78" s="1501"/>
      <c r="BK78" s="1501"/>
      <c r="BL78" s="1495"/>
      <c r="BM78" s="1518"/>
    </row>
    <row r="79" spans="1:65" ht="30" customHeight="1">
      <c r="A79" s="1394"/>
      <c r="B79" s="20" t="s">
        <v>10</v>
      </c>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1493"/>
      <c r="AQ79" s="1509"/>
      <c r="AR79" s="22"/>
      <c r="AS79" s="1502"/>
      <c r="AT79" s="1502"/>
      <c r="AU79" s="1502"/>
      <c r="AV79" s="1502"/>
      <c r="AW79" s="1502"/>
      <c r="AX79" s="1502"/>
      <c r="AY79" s="1502"/>
      <c r="AZ79" s="1502"/>
      <c r="BA79" s="1502"/>
      <c r="BB79" s="1502"/>
      <c r="BC79" s="1502"/>
      <c r="BD79" s="1502"/>
      <c r="BE79" s="1502"/>
      <c r="BF79" s="1502"/>
      <c r="BG79" s="1502"/>
      <c r="BH79" s="1502"/>
      <c r="BI79" s="1502"/>
      <c r="BJ79" s="1502"/>
      <c r="BK79" s="1502"/>
      <c r="BL79" s="1495"/>
      <c r="BM79" s="1519"/>
    </row>
    <row r="80" spans="1:65" ht="24.95" customHeight="1">
      <c r="A80" s="1394"/>
      <c r="B80" s="23" t="s">
        <v>89</v>
      </c>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1493"/>
      <c r="AQ80" s="1509"/>
      <c r="AR80" s="22"/>
      <c r="AS80" s="1502"/>
      <c r="AT80" s="1502"/>
      <c r="AU80" s="1502"/>
      <c r="AV80" s="1502"/>
      <c r="AW80" s="1502"/>
      <c r="AX80" s="1502"/>
      <c r="AY80" s="1502"/>
      <c r="AZ80" s="1502"/>
      <c r="BA80" s="1502"/>
      <c r="BB80" s="1502"/>
      <c r="BC80" s="1502"/>
      <c r="BD80" s="1502"/>
      <c r="BE80" s="1502"/>
      <c r="BF80" s="1502"/>
      <c r="BG80" s="1502"/>
      <c r="BH80" s="1502"/>
      <c r="BI80" s="1502"/>
      <c r="BJ80" s="1502"/>
      <c r="BK80" s="1502"/>
      <c r="BL80" s="1495"/>
      <c r="BM80" s="1519"/>
    </row>
    <row r="81" spans="1:65" ht="21.95" customHeight="1">
      <c r="A81" s="1546">
        <v>4</v>
      </c>
      <c r="B81" s="24" t="s">
        <v>92</v>
      </c>
      <c r="C81" s="1477">
        <v>119.3</v>
      </c>
      <c r="D81" s="26">
        <v>40.200000000000003</v>
      </c>
      <c r="E81" s="1477">
        <v>0</v>
      </c>
      <c r="F81" s="26">
        <v>0</v>
      </c>
      <c r="G81" s="1477">
        <v>129.5</v>
      </c>
      <c r="H81" s="26">
        <v>7</v>
      </c>
      <c r="I81" s="1477">
        <v>0</v>
      </c>
      <c r="J81" s="26">
        <v>0</v>
      </c>
      <c r="K81" s="1477">
        <v>117</v>
      </c>
      <c r="L81" s="26">
        <v>0</v>
      </c>
      <c r="M81" s="1477">
        <v>0</v>
      </c>
      <c r="N81" s="26">
        <v>0</v>
      </c>
      <c r="O81" s="1477">
        <v>0</v>
      </c>
      <c r="P81" s="26">
        <v>0</v>
      </c>
      <c r="Q81" s="1477">
        <v>163</v>
      </c>
      <c r="R81" s="26">
        <v>1.5</v>
      </c>
      <c r="S81" s="1477">
        <v>0</v>
      </c>
      <c r="T81" s="26">
        <v>0</v>
      </c>
      <c r="U81" s="1477">
        <v>40</v>
      </c>
      <c r="V81" s="26">
        <v>0</v>
      </c>
      <c r="W81" s="1477">
        <v>0</v>
      </c>
      <c r="X81" s="26">
        <v>0</v>
      </c>
      <c r="Y81" s="1477">
        <v>0</v>
      </c>
      <c r="Z81" s="26">
        <v>0</v>
      </c>
      <c r="AA81" s="1477">
        <v>0</v>
      </c>
      <c r="AB81" s="26">
        <v>0</v>
      </c>
      <c r="AC81" s="1477">
        <v>0</v>
      </c>
      <c r="AD81" s="26">
        <v>0</v>
      </c>
      <c r="AE81" s="1477">
        <v>0</v>
      </c>
      <c r="AF81" s="26">
        <v>0</v>
      </c>
      <c r="AG81" s="1477">
        <v>0</v>
      </c>
      <c r="AH81" s="26">
        <v>0</v>
      </c>
      <c r="AI81" s="1477">
        <v>0</v>
      </c>
      <c r="AJ81" s="26">
        <v>0</v>
      </c>
      <c r="AK81" s="1477">
        <v>319</v>
      </c>
      <c r="AL81" s="26">
        <v>0</v>
      </c>
      <c r="AM81" s="1477">
        <v>98</v>
      </c>
      <c r="AN81" s="26">
        <v>1.833333333333333</v>
      </c>
      <c r="AO81" s="27">
        <f t="shared" ref="AO81:AP83" si="76">SUMIF($C$70:$AN$70,AO$70,$C81:$AN81)</f>
        <v>985.8</v>
      </c>
      <c r="AP81" s="1494">
        <f t="shared" si="76"/>
        <v>50.533333333333339</v>
      </c>
      <c r="AQ81" s="1510">
        <v>0</v>
      </c>
      <c r="AR81" s="28">
        <v>0</v>
      </c>
      <c r="AS81" s="1503">
        <v>6</v>
      </c>
      <c r="AT81" s="1503">
        <v>0</v>
      </c>
      <c r="AU81" s="1503">
        <v>5.5</v>
      </c>
      <c r="AV81" s="1503">
        <v>0</v>
      </c>
      <c r="AW81" s="1503">
        <v>5</v>
      </c>
      <c r="AX81" s="1503">
        <v>0</v>
      </c>
      <c r="AY81" s="1503">
        <v>0</v>
      </c>
      <c r="AZ81" s="1503">
        <v>4</v>
      </c>
      <c r="BA81" s="1503">
        <v>0</v>
      </c>
      <c r="BB81" s="1503">
        <v>0</v>
      </c>
      <c r="BC81" s="1503">
        <v>0</v>
      </c>
      <c r="BD81" s="1503">
        <v>0</v>
      </c>
      <c r="BE81" s="1503">
        <v>0</v>
      </c>
      <c r="BF81" s="1503">
        <v>0</v>
      </c>
      <c r="BG81" s="1503">
        <v>0</v>
      </c>
      <c r="BH81" s="1503">
        <v>0</v>
      </c>
      <c r="BI81" s="1503">
        <v>0</v>
      </c>
      <c r="BJ81" s="1503">
        <v>5</v>
      </c>
      <c r="BK81" s="1503">
        <v>2</v>
      </c>
      <c r="BL81" s="1525">
        <f t="shared" ref="BL81:BL82" si="77">SUM(AS81:BK81)</f>
        <v>27.5</v>
      </c>
      <c r="BM81" s="1520">
        <v>0</v>
      </c>
    </row>
    <row r="82" spans="1:65" ht="21.95" customHeight="1">
      <c r="A82" s="1546">
        <v>5</v>
      </c>
      <c r="B82" s="24" t="s">
        <v>93</v>
      </c>
      <c r="C82" s="1477">
        <v>119.1</v>
      </c>
      <c r="D82" s="26">
        <v>0</v>
      </c>
      <c r="E82" s="1477">
        <v>0</v>
      </c>
      <c r="F82" s="26">
        <v>0</v>
      </c>
      <c r="G82" s="1477">
        <v>26</v>
      </c>
      <c r="H82" s="26">
        <v>2</v>
      </c>
      <c r="I82" s="1477">
        <v>0</v>
      </c>
      <c r="J82" s="26">
        <v>0</v>
      </c>
      <c r="K82" s="1477">
        <v>154</v>
      </c>
      <c r="L82" s="26">
        <v>0</v>
      </c>
      <c r="M82" s="1477">
        <v>0</v>
      </c>
      <c r="N82" s="26">
        <v>0</v>
      </c>
      <c r="O82" s="1477">
        <v>0</v>
      </c>
      <c r="P82" s="26">
        <v>0</v>
      </c>
      <c r="Q82" s="1477">
        <v>157</v>
      </c>
      <c r="R82" s="26">
        <v>0</v>
      </c>
      <c r="S82" s="1477">
        <v>0</v>
      </c>
      <c r="T82" s="26">
        <v>0</v>
      </c>
      <c r="U82" s="1477">
        <v>0</v>
      </c>
      <c r="V82" s="26">
        <v>0</v>
      </c>
      <c r="W82" s="1477">
        <v>0</v>
      </c>
      <c r="X82" s="26">
        <v>0</v>
      </c>
      <c r="Y82" s="1477">
        <v>0</v>
      </c>
      <c r="Z82" s="26">
        <v>0</v>
      </c>
      <c r="AA82" s="1477">
        <v>0</v>
      </c>
      <c r="AB82" s="26">
        <v>0</v>
      </c>
      <c r="AC82" s="1477">
        <v>0</v>
      </c>
      <c r="AD82" s="26">
        <v>0</v>
      </c>
      <c r="AE82" s="1477">
        <v>0</v>
      </c>
      <c r="AF82" s="26">
        <v>0</v>
      </c>
      <c r="AG82" s="1477">
        <v>0</v>
      </c>
      <c r="AH82" s="26">
        <v>0</v>
      </c>
      <c r="AI82" s="1477">
        <v>0</v>
      </c>
      <c r="AJ82" s="26">
        <v>0</v>
      </c>
      <c r="AK82" s="1477">
        <v>365</v>
      </c>
      <c r="AL82" s="26">
        <v>5</v>
      </c>
      <c r="AM82" s="1477">
        <v>72</v>
      </c>
      <c r="AN82" s="26">
        <v>0</v>
      </c>
      <c r="AO82" s="27">
        <f t="shared" si="76"/>
        <v>893.1</v>
      </c>
      <c r="AP82" s="1494">
        <f t="shared" si="76"/>
        <v>7</v>
      </c>
      <c r="AQ82" s="1510">
        <v>0</v>
      </c>
      <c r="AR82" s="28">
        <v>0</v>
      </c>
      <c r="AS82" s="1503">
        <v>4.4000000000000004</v>
      </c>
      <c r="AT82" s="1503">
        <v>0</v>
      </c>
      <c r="AU82" s="1503">
        <v>1</v>
      </c>
      <c r="AV82" s="1503">
        <v>0</v>
      </c>
      <c r="AW82" s="1503">
        <v>11</v>
      </c>
      <c r="AX82" s="1503">
        <v>0</v>
      </c>
      <c r="AY82" s="1503">
        <v>0</v>
      </c>
      <c r="AZ82" s="1503">
        <v>7</v>
      </c>
      <c r="BA82" s="1503">
        <v>0</v>
      </c>
      <c r="BB82" s="1503">
        <v>0</v>
      </c>
      <c r="BC82" s="1503">
        <v>0</v>
      </c>
      <c r="BD82" s="1503">
        <v>0</v>
      </c>
      <c r="BE82" s="1503">
        <v>0</v>
      </c>
      <c r="BF82" s="1503">
        <v>0</v>
      </c>
      <c r="BG82" s="1503">
        <v>0</v>
      </c>
      <c r="BH82" s="1503">
        <v>0</v>
      </c>
      <c r="BI82" s="1503">
        <v>0</v>
      </c>
      <c r="BJ82" s="1503">
        <v>13</v>
      </c>
      <c r="BK82" s="1503">
        <v>2</v>
      </c>
      <c r="BL82" s="1525">
        <f t="shared" si="77"/>
        <v>38.4</v>
      </c>
      <c r="BM82" s="1520">
        <v>0</v>
      </c>
    </row>
    <row r="83" spans="1:65" ht="24.95" customHeight="1">
      <c r="A83" s="1546">
        <v>6</v>
      </c>
      <c r="B83" s="23" t="s">
        <v>91</v>
      </c>
      <c r="C83" s="1477">
        <v>0</v>
      </c>
      <c r="D83" s="26">
        <v>166.9</v>
      </c>
      <c r="E83" s="1477">
        <v>0</v>
      </c>
      <c r="F83" s="26">
        <v>0</v>
      </c>
      <c r="G83" s="1477">
        <v>74</v>
      </c>
      <c r="H83" s="26">
        <v>94.5</v>
      </c>
      <c r="I83" s="1477">
        <v>0</v>
      </c>
      <c r="J83" s="26">
        <v>0</v>
      </c>
      <c r="K83" s="1477">
        <v>84</v>
      </c>
      <c r="L83" s="26">
        <v>68.599999999999994</v>
      </c>
      <c r="M83" s="1477">
        <v>0</v>
      </c>
      <c r="N83" s="26">
        <v>0</v>
      </c>
      <c r="O83" s="1477">
        <v>62</v>
      </c>
      <c r="P83" s="26">
        <v>8</v>
      </c>
      <c r="Q83" s="1477">
        <v>56.5</v>
      </c>
      <c r="R83" s="26">
        <v>307.86833300000018</v>
      </c>
      <c r="S83" s="1477">
        <v>0</v>
      </c>
      <c r="T83" s="26">
        <v>0</v>
      </c>
      <c r="U83" s="1477">
        <v>0</v>
      </c>
      <c r="V83" s="26">
        <v>0</v>
      </c>
      <c r="W83" s="1477">
        <v>0</v>
      </c>
      <c r="X83" s="26">
        <v>0</v>
      </c>
      <c r="Y83" s="1477">
        <v>0</v>
      </c>
      <c r="Z83" s="26">
        <v>0</v>
      </c>
      <c r="AA83" s="1477">
        <v>29</v>
      </c>
      <c r="AB83" s="26">
        <v>0</v>
      </c>
      <c r="AC83" s="1477">
        <v>0</v>
      </c>
      <c r="AD83" s="26">
        <v>0</v>
      </c>
      <c r="AE83" s="1477">
        <v>0</v>
      </c>
      <c r="AF83" s="26">
        <v>0</v>
      </c>
      <c r="AG83" s="1477">
        <v>0</v>
      </c>
      <c r="AH83" s="26">
        <v>0</v>
      </c>
      <c r="AI83" s="1477">
        <v>13.5</v>
      </c>
      <c r="AJ83" s="26">
        <v>14.5</v>
      </c>
      <c r="AK83" s="1477">
        <v>78</v>
      </c>
      <c r="AL83" s="26">
        <v>7.22</v>
      </c>
      <c r="AM83" s="1477">
        <v>0</v>
      </c>
      <c r="AN83" s="26">
        <v>35.666666666666671</v>
      </c>
      <c r="AO83" s="27">
        <f t="shared" si="76"/>
        <v>397</v>
      </c>
      <c r="AP83" s="1494">
        <f t="shared" si="76"/>
        <v>703.25499966666678</v>
      </c>
      <c r="AQ83" s="1510">
        <v>0</v>
      </c>
      <c r="AR83" s="28">
        <v>0</v>
      </c>
      <c r="AS83" s="1501"/>
      <c r="AT83" s="1501"/>
      <c r="AU83" s="1501"/>
      <c r="AV83" s="1501"/>
      <c r="AW83" s="1501"/>
      <c r="AX83" s="1501"/>
      <c r="AY83" s="1501"/>
      <c r="AZ83" s="1501"/>
      <c r="BA83" s="1501"/>
      <c r="BB83" s="1501"/>
      <c r="BC83" s="1501"/>
      <c r="BD83" s="1501"/>
      <c r="BE83" s="1501"/>
      <c r="BF83" s="1501"/>
      <c r="BG83" s="1501"/>
      <c r="BH83" s="1501"/>
      <c r="BI83" s="1501"/>
      <c r="BJ83" s="1501"/>
      <c r="BK83" s="1501"/>
      <c r="BL83" s="1495"/>
      <c r="BM83" s="1518"/>
    </row>
    <row r="84" spans="1:65" ht="30" customHeight="1">
      <c r="A84" s="1394"/>
      <c r="B84" s="23" t="s">
        <v>2</v>
      </c>
      <c r="C84" s="27">
        <f>SUM(C81:C83)</f>
        <v>238.39999999999998</v>
      </c>
      <c r="D84" s="27">
        <f t="shared" ref="D84:F84" si="78">SUM(D81:D83)</f>
        <v>207.10000000000002</v>
      </c>
      <c r="E84" s="27">
        <f>SUM(E81:E83)</f>
        <v>0</v>
      </c>
      <c r="F84" s="27">
        <f t="shared" si="78"/>
        <v>0</v>
      </c>
      <c r="G84" s="27">
        <f>SUM(G81:G83)</f>
        <v>229.5</v>
      </c>
      <c r="H84" s="27">
        <f t="shared" ref="H84" si="79">SUM(H81:H83)</f>
        <v>103.5</v>
      </c>
      <c r="I84" s="27">
        <f>SUM(I81:I83)</f>
        <v>0</v>
      </c>
      <c r="J84" s="27">
        <f t="shared" ref="J84" si="80">SUM(J81:J83)</f>
        <v>0</v>
      </c>
      <c r="K84" s="27">
        <f>SUM(K81:K83)</f>
        <v>355</v>
      </c>
      <c r="L84" s="27">
        <f t="shared" ref="L84" si="81">SUM(L81:L83)</f>
        <v>68.599999999999994</v>
      </c>
      <c r="M84" s="27">
        <f>SUM(M81:M83)</f>
        <v>0</v>
      </c>
      <c r="N84" s="27">
        <f t="shared" ref="N84" si="82">SUM(N81:N83)</f>
        <v>0</v>
      </c>
      <c r="O84" s="27">
        <f>SUM(O81:O83)</f>
        <v>62</v>
      </c>
      <c r="P84" s="27">
        <f t="shared" ref="P84" si="83">SUM(P81:P83)</f>
        <v>8</v>
      </c>
      <c r="Q84" s="27">
        <f>SUM(Q81:Q83)</f>
        <v>376.5</v>
      </c>
      <c r="R84" s="27">
        <f t="shared" ref="R84" si="84">SUM(R81:R83)</f>
        <v>309.36833300000018</v>
      </c>
      <c r="S84" s="27">
        <f>SUM(S81:S83)</f>
        <v>0</v>
      </c>
      <c r="T84" s="27">
        <f t="shared" ref="T84" si="85">SUM(T81:T83)</f>
        <v>0</v>
      </c>
      <c r="U84" s="27">
        <f>SUM(U81:U83)</f>
        <v>40</v>
      </c>
      <c r="V84" s="27">
        <f t="shared" ref="V84" si="86">SUM(V81:V83)</f>
        <v>0</v>
      </c>
      <c r="W84" s="27">
        <f>SUM(W81:W83)</f>
        <v>0</v>
      </c>
      <c r="X84" s="27">
        <f t="shared" ref="X84" si="87">SUM(X81:X83)</f>
        <v>0</v>
      </c>
      <c r="Y84" s="27">
        <f>SUM(Y81:Y83)</f>
        <v>0</v>
      </c>
      <c r="Z84" s="27">
        <f t="shared" ref="Z84" si="88">SUM(Z81:Z83)</f>
        <v>0</v>
      </c>
      <c r="AA84" s="27">
        <f>SUM(AA81:AA83)</f>
        <v>29</v>
      </c>
      <c r="AB84" s="27">
        <f t="shared" ref="AB84" si="89">SUM(AB81:AB83)</f>
        <v>0</v>
      </c>
      <c r="AC84" s="27">
        <f>SUM(AC81:AC83)</f>
        <v>0</v>
      </c>
      <c r="AD84" s="27">
        <f t="shared" ref="AD84" si="90">SUM(AD81:AD83)</f>
        <v>0</v>
      </c>
      <c r="AE84" s="27">
        <f>SUM(AE81:AE83)</f>
        <v>0</v>
      </c>
      <c r="AF84" s="27">
        <f t="shared" ref="AF84" si="91">SUM(AF81:AF83)</f>
        <v>0</v>
      </c>
      <c r="AG84" s="27">
        <f>SUM(AG81:AG83)</f>
        <v>0</v>
      </c>
      <c r="AH84" s="27">
        <f t="shared" ref="AH84" si="92">SUM(AH81:AH83)</f>
        <v>0</v>
      </c>
      <c r="AI84" s="27">
        <f>SUM(AI81:AI83)</f>
        <v>13.5</v>
      </c>
      <c r="AJ84" s="27">
        <f t="shared" ref="AJ84" si="93">SUM(AJ81:AJ83)</f>
        <v>14.5</v>
      </c>
      <c r="AK84" s="27">
        <f>SUM(AK81:AK83)</f>
        <v>762</v>
      </c>
      <c r="AL84" s="27">
        <f t="shared" ref="AL84:AN84" si="94">SUM(AL81:AL83)</f>
        <v>12.219999999999999</v>
      </c>
      <c r="AM84" s="27">
        <f>SUM(AM81:AM83)</f>
        <v>170</v>
      </c>
      <c r="AN84" s="27">
        <f t="shared" si="94"/>
        <v>37.500000000000007</v>
      </c>
      <c r="AO84" s="27">
        <f t="shared" ref="AO84:AP84" si="95">SUM(AO81:AO83)</f>
        <v>2275.9</v>
      </c>
      <c r="AP84" s="1494">
        <f t="shared" si="95"/>
        <v>760.78833300000008</v>
      </c>
      <c r="AQ84" s="580">
        <f>SUM(AQ81:AQ83)</f>
        <v>0</v>
      </c>
      <c r="AR84" s="29">
        <f t="shared" ref="AR84" si="96">SUM(AR81:AR83)</f>
        <v>0</v>
      </c>
      <c r="AS84" s="1501"/>
      <c r="AT84" s="1501"/>
      <c r="AU84" s="1501"/>
      <c r="AV84" s="1501"/>
      <c r="AW84" s="1501"/>
      <c r="AX84" s="1501"/>
      <c r="AY84" s="1501"/>
      <c r="AZ84" s="1501"/>
      <c r="BA84" s="1501"/>
      <c r="BB84" s="1501"/>
      <c r="BC84" s="1501"/>
      <c r="BD84" s="1501"/>
      <c r="BE84" s="1501"/>
      <c r="BF84" s="1501"/>
      <c r="BG84" s="1501"/>
      <c r="BH84" s="1501"/>
      <c r="BI84" s="1501"/>
      <c r="BJ84" s="1501"/>
      <c r="BK84" s="1501"/>
      <c r="BL84" s="1495"/>
      <c r="BM84" s="1518"/>
    </row>
    <row r="85" spans="1:65" ht="30" customHeight="1">
      <c r="A85" s="1394"/>
      <c r="B85" s="20" t="s">
        <v>11</v>
      </c>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1493"/>
      <c r="AQ85" s="1509"/>
      <c r="AR85" s="22"/>
      <c r="AS85" s="1502"/>
      <c r="AT85" s="1502"/>
      <c r="AU85" s="1502"/>
      <c r="AV85" s="1502"/>
      <c r="AW85" s="1502"/>
      <c r="AX85" s="1502"/>
      <c r="AY85" s="1502"/>
      <c r="AZ85" s="1502"/>
      <c r="BA85" s="1502"/>
      <c r="BB85" s="1502"/>
      <c r="BC85" s="1502"/>
      <c r="BD85" s="1502"/>
      <c r="BE85" s="1502"/>
      <c r="BF85" s="1502"/>
      <c r="BG85" s="1502"/>
      <c r="BH85" s="1502"/>
      <c r="BI85" s="1502"/>
      <c r="BJ85" s="1502"/>
      <c r="BK85" s="1502"/>
      <c r="BL85" s="1495"/>
      <c r="BM85" s="1519"/>
    </row>
    <row r="86" spans="1:65" ht="24.95" customHeight="1">
      <c r="A86" s="1394"/>
      <c r="B86" s="23" t="s">
        <v>89</v>
      </c>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1493"/>
      <c r="AQ86" s="1509"/>
      <c r="AR86" s="22"/>
      <c r="AS86" s="1502"/>
      <c r="AT86" s="1502"/>
      <c r="AU86" s="1502"/>
      <c r="AV86" s="1502"/>
      <c r="AW86" s="1502"/>
      <c r="AX86" s="1502"/>
      <c r="AY86" s="1502"/>
      <c r="AZ86" s="1502"/>
      <c r="BA86" s="1502"/>
      <c r="BB86" s="1502"/>
      <c r="BC86" s="1502"/>
      <c r="BD86" s="1502"/>
      <c r="BE86" s="1502"/>
      <c r="BF86" s="1502"/>
      <c r="BG86" s="1502"/>
      <c r="BH86" s="1502"/>
      <c r="BI86" s="1502"/>
      <c r="BJ86" s="1502"/>
      <c r="BK86" s="1502"/>
      <c r="BL86" s="1495"/>
      <c r="BM86" s="1519"/>
    </row>
    <row r="87" spans="1:65" ht="24.95" customHeight="1">
      <c r="A87" s="1394"/>
      <c r="B87" s="24" t="s">
        <v>95</v>
      </c>
      <c r="C87" s="1395"/>
      <c r="D87" s="1395"/>
      <c r="E87" s="1395"/>
      <c r="F87" s="1395"/>
      <c r="G87" s="1395"/>
      <c r="H87" s="1395"/>
      <c r="I87" s="1395"/>
      <c r="J87" s="1395"/>
      <c r="K87" s="1395"/>
      <c r="L87" s="1395"/>
      <c r="M87" s="1395"/>
      <c r="N87" s="1395"/>
      <c r="O87" s="1395"/>
      <c r="P87" s="1395"/>
      <c r="Q87" s="1395"/>
      <c r="R87" s="1395"/>
      <c r="S87" s="1395"/>
      <c r="T87" s="1395"/>
      <c r="U87" s="1395"/>
      <c r="V87" s="1395"/>
      <c r="W87" s="1395"/>
      <c r="X87" s="1395"/>
      <c r="Y87" s="1395"/>
      <c r="Z87" s="1395"/>
      <c r="AA87" s="1395"/>
      <c r="AB87" s="1395"/>
      <c r="AC87" s="1395"/>
      <c r="AD87" s="1395"/>
      <c r="AE87" s="1395"/>
      <c r="AF87" s="1395"/>
      <c r="AG87" s="1395"/>
      <c r="AH87" s="1395"/>
      <c r="AI87" s="1395"/>
      <c r="AJ87" s="1395"/>
      <c r="AK87" s="1395"/>
      <c r="AL87" s="1395"/>
      <c r="AM87" s="1395"/>
      <c r="AN87" s="1395"/>
      <c r="AO87" s="1395"/>
      <c r="AP87" s="1495"/>
      <c r="AQ87" s="1385"/>
      <c r="AR87" s="1397"/>
      <c r="AS87" s="1476"/>
      <c r="AT87" s="1476"/>
      <c r="AU87" s="1476"/>
      <c r="AV87" s="1476"/>
      <c r="AW87" s="1476"/>
      <c r="AX87" s="1476"/>
      <c r="AY87" s="1476"/>
      <c r="AZ87" s="1476"/>
      <c r="BA87" s="1476"/>
      <c r="BB87" s="1476"/>
      <c r="BC87" s="1476"/>
      <c r="BD87" s="1476"/>
      <c r="BE87" s="1476"/>
      <c r="BF87" s="1476"/>
      <c r="BG87" s="1476"/>
      <c r="BH87" s="1476"/>
      <c r="BI87" s="1476"/>
      <c r="BJ87" s="1476"/>
      <c r="BK87" s="1476"/>
      <c r="BL87" s="1495"/>
      <c r="BM87" s="1521"/>
    </row>
    <row r="88" spans="1:65" ht="21.95" customHeight="1">
      <c r="A88" s="1546">
        <v>7</v>
      </c>
      <c r="B88" s="30" t="s">
        <v>33</v>
      </c>
      <c r="C88" s="1477">
        <v>459</v>
      </c>
      <c r="D88" s="26">
        <v>0</v>
      </c>
      <c r="E88" s="1477">
        <v>0</v>
      </c>
      <c r="F88" s="26">
        <v>0</v>
      </c>
      <c r="G88" s="1477">
        <v>443</v>
      </c>
      <c r="H88" s="26">
        <v>0</v>
      </c>
      <c r="I88" s="1477">
        <v>0</v>
      </c>
      <c r="J88" s="26">
        <v>0</v>
      </c>
      <c r="K88" s="1477">
        <v>593</v>
      </c>
      <c r="L88" s="26">
        <v>0</v>
      </c>
      <c r="M88" s="1477">
        <v>0</v>
      </c>
      <c r="N88" s="26">
        <v>0</v>
      </c>
      <c r="O88" s="1477">
        <v>0</v>
      </c>
      <c r="P88" s="26">
        <v>0</v>
      </c>
      <c r="Q88" s="1477">
        <v>660</v>
      </c>
      <c r="R88" s="26">
        <v>0</v>
      </c>
      <c r="S88" s="1477">
        <v>0</v>
      </c>
      <c r="T88" s="26">
        <v>0</v>
      </c>
      <c r="U88" s="1477">
        <v>0</v>
      </c>
      <c r="V88" s="26">
        <v>0</v>
      </c>
      <c r="W88" s="1477">
        <v>0</v>
      </c>
      <c r="X88" s="26">
        <v>0</v>
      </c>
      <c r="Y88" s="1477">
        <v>0</v>
      </c>
      <c r="Z88" s="26">
        <v>0</v>
      </c>
      <c r="AA88" s="1477">
        <v>0</v>
      </c>
      <c r="AB88" s="26">
        <v>0</v>
      </c>
      <c r="AC88" s="1477">
        <v>0</v>
      </c>
      <c r="AD88" s="26">
        <v>0</v>
      </c>
      <c r="AE88" s="1477">
        <v>0</v>
      </c>
      <c r="AF88" s="26">
        <v>0</v>
      </c>
      <c r="AG88" s="1477">
        <v>0</v>
      </c>
      <c r="AH88" s="26">
        <v>0</v>
      </c>
      <c r="AI88" s="1477">
        <v>0</v>
      </c>
      <c r="AJ88" s="26">
        <v>0</v>
      </c>
      <c r="AK88" s="1477">
        <v>0</v>
      </c>
      <c r="AL88" s="26">
        <v>0</v>
      </c>
      <c r="AM88" s="1477">
        <v>0</v>
      </c>
      <c r="AN88" s="26">
        <v>0</v>
      </c>
      <c r="AO88" s="27">
        <f t="shared" ref="AO88:AP91" si="97">SUMIF($C$70:$AN$70,AO$70,$C88:$AN88)</f>
        <v>2155</v>
      </c>
      <c r="AP88" s="1494">
        <f t="shared" si="97"/>
        <v>0</v>
      </c>
      <c r="AQ88" s="1510">
        <v>0</v>
      </c>
      <c r="AR88" s="28">
        <v>0</v>
      </c>
      <c r="AS88" s="1503">
        <v>40</v>
      </c>
      <c r="AT88" s="1503">
        <v>0</v>
      </c>
      <c r="AU88" s="1503">
        <v>29</v>
      </c>
      <c r="AV88" s="1503">
        <v>0</v>
      </c>
      <c r="AW88" s="1503">
        <v>25</v>
      </c>
      <c r="AX88" s="1503">
        <v>0</v>
      </c>
      <c r="AY88" s="1503">
        <v>0</v>
      </c>
      <c r="AZ88" s="1503">
        <v>60</v>
      </c>
      <c r="BA88" s="1503">
        <v>0</v>
      </c>
      <c r="BB88" s="1503">
        <v>0</v>
      </c>
      <c r="BC88" s="1503">
        <v>0</v>
      </c>
      <c r="BD88" s="1503">
        <v>0</v>
      </c>
      <c r="BE88" s="1503">
        <v>0</v>
      </c>
      <c r="BF88" s="1503">
        <v>0</v>
      </c>
      <c r="BG88" s="1503">
        <v>0</v>
      </c>
      <c r="BH88" s="1503">
        <v>0</v>
      </c>
      <c r="BI88" s="1503">
        <v>0</v>
      </c>
      <c r="BJ88" s="1503">
        <v>0</v>
      </c>
      <c r="BK88" s="1503">
        <v>0</v>
      </c>
      <c r="BL88" s="1525">
        <f t="shared" ref="BL88:BL96" si="98">SUM(AS88:BK88)</f>
        <v>154</v>
      </c>
      <c r="BM88" s="1520">
        <v>0</v>
      </c>
    </row>
    <row r="89" spans="1:65" ht="21.95" customHeight="1">
      <c r="A89" s="1546">
        <v>8</v>
      </c>
      <c r="B89" s="30" t="s">
        <v>34</v>
      </c>
      <c r="C89" s="1477">
        <v>60</v>
      </c>
      <c r="D89" s="26">
        <v>0</v>
      </c>
      <c r="E89" s="1477">
        <v>0</v>
      </c>
      <c r="F89" s="26">
        <v>0</v>
      </c>
      <c r="G89" s="1477">
        <v>228</v>
      </c>
      <c r="H89" s="26">
        <v>0</v>
      </c>
      <c r="I89" s="1477">
        <v>0</v>
      </c>
      <c r="J89" s="26">
        <v>0</v>
      </c>
      <c r="K89" s="1477">
        <v>0</v>
      </c>
      <c r="L89" s="26">
        <v>0</v>
      </c>
      <c r="M89" s="1477">
        <v>0</v>
      </c>
      <c r="N89" s="26">
        <v>0</v>
      </c>
      <c r="O89" s="1477">
        <v>0</v>
      </c>
      <c r="P89" s="26">
        <v>0</v>
      </c>
      <c r="Q89" s="1477">
        <v>304</v>
      </c>
      <c r="R89" s="26">
        <v>0</v>
      </c>
      <c r="S89" s="1477">
        <v>0</v>
      </c>
      <c r="T89" s="26">
        <v>0</v>
      </c>
      <c r="U89" s="1477">
        <v>0</v>
      </c>
      <c r="V89" s="26">
        <v>0</v>
      </c>
      <c r="W89" s="1477">
        <v>0</v>
      </c>
      <c r="X89" s="26">
        <v>0</v>
      </c>
      <c r="Y89" s="1477">
        <v>0</v>
      </c>
      <c r="Z89" s="26">
        <v>0</v>
      </c>
      <c r="AA89" s="1477">
        <v>0</v>
      </c>
      <c r="AB89" s="26">
        <v>0</v>
      </c>
      <c r="AC89" s="1477">
        <v>0</v>
      </c>
      <c r="AD89" s="26">
        <v>0</v>
      </c>
      <c r="AE89" s="1477">
        <v>0</v>
      </c>
      <c r="AF89" s="26">
        <v>0</v>
      </c>
      <c r="AG89" s="1477">
        <v>0</v>
      </c>
      <c r="AH89" s="26">
        <v>0</v>
      </c>
      <c r="AI89" s="1477">
        <v>0</v>
      </c>
      <c r="AJ89" s="26">
        <v>0</v>
      </c>
      <c r="AK89" s="1477">
        <v>0</v>
      </c>
      <c r="AL89" s="26">
        <v>0</v>
      </c>
      <c r="AM89" s="1477">
        <v>0</v>
      </c>
      <c r="AN89" s="26">
        <v>0</v>
      </c>
      <c r="AO89" s="27">
        <f t="shared" si="97"/>
        <v>592</v>
      </c>
      <c r="AP89" s="1494">
        <f t="shared" si="97"/>
        <v>0</v>
      </c>
      <c r="AQ89" s="1510">
        <v>0</v>
      </c>
      <c r="AR89" s="28">
        <v>0</v>
      </c>
      <c r="AS89" s="1503">
        <v>21</v>
      </c>
      <c r="AT89" s="1503">
        <v>0</v>
      </c>
      <c r="AU89" s="1503">
        <v>24</v>
      </c>
      <c r="AV89" s="1503">
        <v>0</v>
      </c>
      <c r="AW89" s="1503">
        <v>0</v>
      </c>
      <c r="AX89" s="1503">
        <v>0</v>
      </c>
      <c r="AY89" s="1503">
        <v>0</v>
      </c>
      <c r="AZ89" s="1503">
        <v>26</v>
      </c>
      <c r="BA89" s="1503">
        <v>0</v>
      </c>
      <c r="BB89" s="1503">
        <v>0</v>
      </c>
      <c r="BC89" s="1503">
        <v>0</v>
      </c>
      <c r="BD89" s="1503">
        <v>0</v>
      </c>
      <c r="BE89" s="1503">
        <v>0</v>
      </c>
      <c r="BF89" s="1503">
        <v>0</v>
      </c>
      <c r="BG89" s="1503">
        <v>0</v>
      </c>
      <c r="BH89" s="1503">
        <v>0</v>
      </c>
      <c r="BI89" s="1503">
        <v>0</v>
      </c>
      <c r="BJ89" s="1503">
        <v>0</v>
      </c>
      <c r="BK89" s="1503">
        <v>0</v>
      </c>
      <c r="BL89" s="1525">
        <f t="shared" si="98"/>
        <v>71</v>
      </c>
      <c r="BM89" s="1520">
        <v>0</v>
      </c>
    </row>
    <row r="90" spans="1:65" ht="21.95" customHeight="1">
      <c r="A90" s="1546">
        <v>9</v>
      </c>
      <c r="B90" s="30" t="s">
        <v>5</v>
      </c>
      <c r="C90" s="1477">
        <v>244</v>
      </c>
      <c r="D90" s="26">
        <v>0</v>
      </c>
      <c r="E90" s="1477">
        <v>0</v>
      </c>
      <c r="F90" s="26">
        <v>0</v>
      </c>
      <c r="G90" s="1477">
        <v>181</v>
      </c>
      <c r="H90" s="26">
        <v>0</v>
      </c>
      <c r="I90" s="1477">
        <v>0</v>
      </c>
      <c r="J90" s="26">
        <v>0</v>
      </c>
      <c r="K90" s="1477">
        <v>220</v>
      </c>
      <c r="L90" s="26">
        <v>0</v>
      </c>
      <c r="M90" s="1477">
        <v>0</v>
      </c>
      <c r="N90" s="26">
        <v>0</v>
      </c>
      <c r="O90" s="1477">
        <v>0</v>
      </c>
      <c r="P90" s="26">
        <v>0</v>
      </c>
      <c r="Q90" s="1477">
        <v>317</v>
      </c>
      <c r="R90" s="26">
        <v>0</v>
      </c>
      <c r="S90" s="1477">
        <v>0</v>
      </c>
      <c r="T90" s="26">
        <v>0</v>
      </c>
      <c r="U90" s="1477">
        <v>0</v>
      </c>
      <c r="V90" s="26">
        <v>0</v>
      </c>
      <c r="W90" s="1477">
        <v>0</v>
      </c>
      <c r="X90" s="26">
        <v>0</v>
      </c>
      <c r="Y90" s="1477">
        <v>0</v>
      </c>
      <c r="Z90" s="26">
        <v>0</v>
      </c>
      <c r="AA90" s="1477">
        <v>0</v>
      </c>
      <c r="AB90" s="26">
        <v>0</v>
      </c>
      <c r="AC90" s="1477">
        <v>0</v>
      </c>
      <c r="AD90" s="26">
        <v>0</v>
      </c>
      <c r="AE90" s="1477">
        <v>0</v>
      </c>
      <c r="AF90" s="26">
        <v>0</v>
      </c>
      <c r="AG90" s="1477">
        <v>331</v>
      </c>
      <c r="AH90" s="26">
        <v>0</v>
      </c>
      <c r="AI90" s="1477">
        <v>0</v>
      </c>
      <c r="AJ90" s="26">
        <v>0</v>
      </c>
      <c r="AK90" s="1477">
        <v>0</v>
      </c>
      <c r="AL90" s="26">
        <v>0</v>
      </c>
      <c r="AM90" s="1477">
        <v>0</v>
      </c>
      <c r="AN90" s="26">
        <v>0</v>
      </c>
      <c r="AO90" s="27">
        <f t="shared" si="97"/>
        <v>1293</v>
      </c>
      <c r="AP90" s="1494">
        <f t="shared" si="97"/>
        <v>0</v>
      </c>
      <c r="AQ90" s="1510">
        <v>0</v>
      </c>
      <c r="AR90" s="28">
        <v>0</v>
      </c>
      <c r="AS90" s="1503">
        <v>63</v>
      </c>
      <c r="AT90" s="1503">
        <v>0</v>
      </c>
      <c r="AU90" s="1503">
        <v>58</v>
      </c>
      <c r="AV90" s="1503">
        <v>0</v>
      </c>
      <c r="AW90" s="1503">
        <v>167</v>
      </c>
      <c r="AX90" s="1503">
        <v>0</v>
      </c>
      <c r="AY90" s="1503">
        <v>0</v>
      </c>
      <c r="AZ90" s="1503">
        <v>118</v>
      </c>
      <c r="BA90" s="1503">
        <v>0</v>
      </c>
      <c r="BB90" s="1503">
        <v>0</v>
      </c>
      <c r="BC90" s="1503">
        <v>0</v>
      </c>
      <c r="BD90" s="1503">
        <v>0</v>
      </c>
      <c r="BE90" s="1503">
        <v>0</v>
      </c>
      <c r="BF90" s="1503">
        <v>0</v>
      </c>
      <c r="BG90" s="1503">
        <v>0</v>
      </c>
      <c r="BH90" s="1503">
        <v>0</v>
      </c>
      <c r="BI90" s="1503">
        <v>0</v>
      </c>
      <c r="BJ90" s="1503">
        <v>0</v>
      </c>
      <c r="BK90" s="1503">
        <v>0</v>
      </c>
      <c r="BL90" s="1525">
        <f t="shared" si="98"/>
        <v>406</v>
      </c>
      <c r="BM90" s="1520">
        <v>0</v>
      </c>
    </row>
    <row r="91" spans="1:65" ht="21.95" customHeight="1">
      <c r="A91" s="1546">
        <v>10</v>
      </c>
      <c r="B91" s="30" t="s">
        <v>6</v>
      </c>
      <c r="C91" s="1477">
        <v>0</v>
      </c>
      <c r="D91" s="26">
        <v>0</v>
      </c>
      <c r="E91" s="1477">
        <v>0</v>
      </c>
      <c r="F91" s="26">
        <v>0</v>
      </c>
      <c r="G91" s="1477">
        <v>29</v>
      </c>
      <c r="H91" s="26">
        <v>0</v>
      </c>
      <c r="I91" s="1477">
        <v>0</v>
      </c>
      <c r="J91" s="26">
        <v>0</v>
      </c>
      <c r="K91" s="1477">
        <v>0</v>
      </c>
      <c r="L91" s="26">
        <v>0</v>
      </c>
      <c r="M91" s="1477">
        <v>0</v>
      </c>
      <c r="N91" s="26">
        <v>0</v>
      </c>
      <c r="O91" s="1477">
        <v>0</v>
      </c>
      <c r="P91" s="26">
        <v>0</v>
      </c>
      <c r="Q91" s="1477">
        <v>53</v>
      </c>
      <c r="R91" s="26">
        <v>0</v>
      </c>
      <c r="S91" s="1477">
        <v>0</v>
      </c>
      <c r="T91" s="26">
        <v>0</v>
      </c>
      <c r="U91" s="1477">
        <v>0</v>
      </c>
      <c r="V91" s="26">
        <v>0</v>
      </c>
      <c r="W91" s="1477">
        <v>0</v>
      </c>
      <c r="X91" s="26">
        <v>0</v>
      </c>
      <c r="Y91" s="1477">
        <v>0</v>
      </c>
      <c r="Z91" s="26">
        <v>0</v>
      </c>
      <c r="AA91" s="1477">
        <v>0</v>
      </c>
      <c r="AB91" s="26">
        <v>0</v>
      </c>
      <c r="AC91" s="1477">
        <v>0</v>
      </c>
      <c r="AD91" s="26">
        <v>0</v>
      </c>
      <c r="AE91" s="1477">
        <v>0</v>
      </c>
      <c r="AF91" s="26">
        <v>0</v>
      </c>
      <c r="AG91" s="1477">
        <v>0</v>
      </c>
      <c r="AH91" s="26">
        <v>0</v>
      </c>
      <c r="AI91" s="1477">
        <v>0</v>
      </c>
      <c r="AJ91" s="26">
        <v>0</v>
      </c>
      <c r="AK91" s="1477">
        <v>0</v>
      </c>
      <c r="AL91" s="26">
        <v>0</v>
      </c>
      <c r="AM91" s="1477">
        <v>0</v>
      </c>
      <c r="AN91" s="26">
        <v>0</v>
      </c>
      <c r="AO91" s="27">
        <f t="shared" si="97"/>
        <v>82</v>
      </c>
      <c r="AP91" s="1494">
        <f t="shared" si="97"/>
        <v>0</v>
      </c>
      <c r="AQ91" s="1510">
        <v>0</v>
      </c>
      <c r="AR91" s="28">
        <v>0</v>
      </c>
      <c r="AS91" s="1503">
        <v>0</v>
      </c>
      <c r="AT91" s="1503">
        <v>0</v>
      </c>
      <c r="AU91" s="1503">
        <v>19</v>
      </c>
      <c r="AV91" s="1503">
        <v>0</v>
      </c>
      <c r="AW91" s="1503">
        <v>0</v>
      </c>
      <c r="AX91" s="1503">
        <v>0</v>
      </c>
      <c r="AY91" s="1503">
        <v>0</v>
      </c>
      <c r="AZ91" s="1503">
        <v>13</v>
      </c>
      <c r="BA91" s="1503">
        <v>0</v>
      </c>
      <c r="BB91" s="1503">
        <v>0</v>
      </c>
      <c r="BC91" s="1503">
        <v>0</v>
      </c>
      <c r="BD91" s="1503">
        <v>0</v>
      </c>
      <c r="BE91" s="1503">
        <v>0</v>
      </c>
      <c r="BF91" s="1503">
        <v>0</v>
      </c>
      <c r="BG91" s="1503">
        <v>0</v>
      </c>
      <c r="BH91" s="1503">
        <v>0</v>
      </c>
      <c r="BI91" s="1503">
        <v>0</v>
      </c>
      <c r="BJ91" s="1503">
        <v>0</v>
      </c>
      <c r="BK91" s="1503">
        <v>0</v>
      </c>
      <c r="BL91" s="1525">
        <f t="shared" si="98"/>
        <v>32</v>
      </c>
      <c r="BM91" s="1520">
        <v>0</v>
      </c>
    </row>
    <row r="92" spans="1:65" ht="24.95" customHeight="1">
      <c r="A92" s="1394"/>
      <c r="B92" s="24" t="s">
        <v>7</v>
      </c>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5"/>
      <c r="AP92" s="1493"/>
      <c r="AQ92" s="1509"/>
      <c r="AR92" s="22"/>
      <c r="AS92" s="1502"/>
      <c r="AT92" s="1502"/>
      <c r="AU92" s="1502"/>
      <c r="AV92" s="1502"/>
      <c r="AW92" s="1502"/>
      <c r="AX92" s="1502"/>
      <c r="AY92" s="1502"/>
      <c r="AZ92" s="1502"/>
      <c r="BA92" s="1502"/>
      <c r="BB92" s="1502"/>
      <c r="BC92" s="1502"/>
      <c r="BD92" s="1502"/>
      <c r="BE92" s="1502"/>
      <c r="BF92" s="1502"/>
      <c r="BG92" s="1502"/>
      <c r="BH92" s="1502"/>
      <c r="BI92" s="1502"/>
      <c r="BJ92" s="1502"/>
      <c r="BK92" s="1502"/>
      <c r="BL92" s="1513"/>
      <c r="BM92" s="1519"/>
    </row>
    <row r="93" spans="1:65" ht="21.95" customHeight="1">
      <c r="A93" s="1546">
        <v>11</v>
      </c>
      <c r="B93" s="30" t="s">
        <v>99</v>
      </c>
      <c r="C93" s="1477">
        <v>408.6</v>
      </c>
      <c r="D93" s="26">
        <v>0</v>
      </c>
      <c r="E93" s="1477">
        <v>0</v>
      </c>
      <c r="F93" s="26">
        <v>0</v>
      </c>
      <c r="G93" s="1477">
        <v>241</v>
      </c>
      <c r="H93" s="26">
        <v>3.8</v>
      </c>
      <c r="I93" s="1477">
        <v>0</v>
      </c>
      <c r="J93" s="26">
        <v>0</v>
      </c>
      <c r="K93" s="1477">
        <v>420</v>
      </c>
      <c r="L93" s="26">
        <v>0</v>
      </c>
      <c r="M93" s="1477">
        <v>0</v>
      </c>
      <c r="N93" s="26">
        <v>0</v>
      </c>
      <c r="O93" s="1477">
        <v>0</v>
      </c>
      <c r="P93" s="26">
        <v>0</v>
      </c>
      <c r="Q93" s="1477">
        <v>564</v>
      </c>
      <c r="R93" s="26">
        <v>5.6</v>
      </c>
      <c r="S93" s="1477">
        <v>0</v>
      </c>
      <c r="T93" s="26">
        <v>0</v>
      </c>
      <c r="U93" s="1477">
        <v>0</v>
      </c>
      <c r="V93" s="26">
        <v>0</v>
      </c>
      <c r="W93" s="1477">
        <v>0</v>
      </c>
      <c r="X93" s="26">
        <v>0</v>
      </c>
      <c r="Y93" s="1477">
        <v>0</v>
      </c>
      <c r="Z93" s="26">
        <v>0</v>
      </c>
      <c r="AA93" s="1477">
        <v>0</v>
      </c>
      <c r="AB93" s="26">
        <v>0</v>
      </c>
      <c r="AC93" s="1477">
        <v>0</v>
      </c>
      <c r="AD93" s="26">
        <v>0</v>
      </c>
      <c r="AE93" s="1477">
        <v>0</v>
      </c>
      <c r="AF93" s="26">
        <v>0</v>
      </c>
      <c r="AG93" s="1477">
        <v>0</v>
      </c>
      <c r="AH93" s="26">
        <v>0</v>
      </c>
      <c r="AI93" s="1477">
        <v>144.80000000000001</v>
      </c>
      <c r="AJ93" s="26">
        <v>1.03</v>
      </c>
      <c r="AK93" s="1477">
        <v>536</v>
      </c>
      <c r="AL93" s="26">
        <v>5</v>
      </c>
      <c r="AM93" s="1477">
        <v>277</v>
      </c>
      <c r="AN93" s="26">
        <v>0.83333333333333326</v>
      </c>
      <c r="AO93" s="27">
        <f t="shared" ref="AO93:AP96" si="99">SUMIF($C$70:$AN$70,AO$70,$C93:$AN93)</f>
        <v>2591.3999999999996</v>
      </c>
      <c r="AP93" s="1494">
        <f t="shared" si="99"/>
        <v>16.263333333333332</v>
      </c>
      <c r="AQ93" s="1510">
        <v>0</v>
      </c>
      <c r="AR93" s="28">
        <v>0</v>
      </c>
      <c r="AS93" s="1503">
        <v>14</v>
      </c>
      <c r="AT93" s="1503">
        <v>0</v>
      </c>
      <c r="AU93" s="1503">
        <v>7.5</v>
      </c>
      <c r="AV93" s="1503">
        <v>0</v>
      </c>
      <c r="AW93" s="1503">
        <v>12</v>
      </c>
      <c r="AX93" s="1503">
        <v>0</v>
      </c>
      <c r="AY93" s="1503">
        <v>0</v>
      </c>
      <c r="AZ93" s="1503">
        <v>6</v>
      </c>
      <c r="BA93" s="1503">
        <v>0</v>
      </c>
      <c r="BB93" s="1503">
        <v>0</v>
      </c>
      <c r="BC93" s="1503">
        <v>0</v>
      </c>
      <c r="BD93" s="1503">
        <v>0</v>
      </c>
      <c r="BE93" s="1503">
        <v>0</v>
      </c>
      <c r="BF93" s="1503">
        <v>0</v>
      </c>
      <c r="BG93" s="1503">
        <v>0</v>
      </c>
      <c r="BH93" s="1503">
        <v>0</v>
      </c>
      <c r="BI93" s="1503">
        <v>0</v>
      </c>
      <c r="BJ93" s="1503">
        <v>7</v>
      </c>
      <c r="BK93" s="1503">
        <v>0</v>
      </c>
      <c r="BL93" s="1525">
        <f t="shared" si="98"/>
        <v>46.5</v>
      </c>
      <c r="BM93" s="1520">
        <v>0</v>
      </c>
    </row>
    <row r="94" spans="1:65" ht="21.95" customHeight="1">
      <c r="A94" s="1546">
        <v>12</v>
      </c>
      <c r="B94" s="30" t="s">
        <v>21</v>
      </c>
      <c r="C94" s="1477">
        <v>52</v>
      </c>
      <c r="D94" s="26">
        <v>0</v>
      </c>
      <c r="E94" s="1477">
        <v>0</v>
      </c>
      <c r="F94" s="26">
        <v>0</v>
      </c>
      <c r="G94" s="1477">
        <v>0</v>
      </c>
      <c r="H94" s="26">
        <v>0</v>
      </c>
      <c r="I94" s="1477">
        <v>0</v>
      </c>
      <c r="J94" s="26">
        <v>0</v>
      </c>
      <c r="K94" s="1477">
        <v>0</v>
      </c>
      <c r="L94" s="26">
        <v>0</v>
      </c>
      <c r="M94" s="1477">
        <v>0</v>
      </c>
      <c r="N94" s="26">
        <v>0</v>
      </c>
      <c r="O94" s="1477">
        <v>0</v>
      </c>
      <c r="P94" s="26">
        <v>0</v>
      </c>
      <c r="Q94" s="1477">
        <v>0</v>
      </c>
      <c r="R94" s="26">
        <v>0</v>
      </c>
      <c r="S94" s="1477">
        <v>0</v>
      </c>
      <c r="T94" s="26">
        <v>0</v>
      </c>
      <c r="U94" s="1477">
        <v>0</v>
      </c>
      <c r="V94" s="26">
        <v>0</v>
      </c>
      <c r="W94" s="1477">
        <v>0</v>
      </c>
      <c r="X94" s="26">
        <v>0</v>
      </c>
      <c r="Y94" s="1477">
        <v>0</v>
      </c>
      <c r="Z94" s="26">
        <v>0</v>
      </c>
      <c r="AA94" s="1477">
        <v>0</v>
      </c>
      <c r="AB94" s="26">
        <v>0</v>
      </c>
      <c r="AC94" s="1477">
        <v>92</v>
      </c>
      <c r="AD94" s="26">
        <v>0</v>
      </c>
      <c r="AE94" s="1477">
        <v>0</v>
      </c>
      <c r="AF94" s="26">
        <v>0</v>
      </c>
      <c r="AG94" s="1477">
        <v>0</v>
      </c>
      <c r="AH94" s="26">
        <v>0</v>
      </c>
      <c r="AI94" s="1477">
        <v>0</v>
      </c>
      <c r="AJ94" s="26">
        <v>0</v>
      </c>
      <c r="AK94" s="1477">
        <v>0</v>
      </c>
      <c r="AL94" s="26">
        <v>0</v>
      </c>
      <c r="AM94" s="1477">
        <v>0</v>
      </c>
      <c r="AN94" s="26">
        <v>0</v>
      </c>
      <c r="AO94" s="27">
        <f t="shared" si="99"/>
        <v>144</v>
      </c>
      <c r="AP94" s="1494">
        <f t="shared" si="99"/>
        <v>0</v>
      </c>
      <c r="AQ94" s="1510">
        <v>0</v>
      </c>
      <c r="AR94" s="28">
        <v>0</v>
      </c>
      <c r="AS94" s="1503">
        <v>0</v>
      </c>
      <c r="AT94" s="1503">
        <v>0</v>
      </c>
      <c r="AU94" s="1503">
        <v>0</v>
      </c>
      <c r="AV94" s="1503">
        <v>0</v>
      </c>
      <c r="AW94" s="1503">
        <v>0</v>
      </c>
      <c r="AX94" s="1503">
        <v>0</v>
      </c>
      <c r="AY94" s="1503">
        <v>0</v>
      </c>
      <c r="AZ94" s="1503">
        <v>0</v>
      </c>
      <c r="BA94" s="1503">
        <v>0</v>
      </c>
      <c r="BB94" s="1503">
        <v>0</v>
      </c>
      <c r="BC94" s="1503">
        <v>0</v>
      </c>
      <c r="BD94" s="1503">
        <v>0</v>
      </c>
      <c r="BE94" s="1503">
        <v>0</v>
      </c>
      <c r="BF94" s="1503">
        <v>0</v>
      </c>
      <c r="BG94" s="1503">
        <v>0</v>
      </c>
      <c r="BH94" s="1503">
        <v>0</v>
      </c>
      <c r="BI94" s="1503">
        <v>0</v>
      </c>
      <c r="BJ94" s="1503">
        <v>0</v>
      </c>
      <c r="BK94" s="1503">
        <v>0</v>
      </c>
      <c r="BL94" s="1525">
        <f t="shared" si="98"/>
        <v>0</v>
      </c>
      <c r="BM94" s="1520">
        <v>0</v>
      </c>
    </row>
    <row r="95" spans="1:65" ht="21.95" customHeight="1">
      <c r="A95" s="1546">
        <v>13</v>
      </c>
      <c r="B95" s="30" t="s">
        <v>22</v>
      </c>
      <c r="C95" s="1477">
        <v>0</v>
      </c>
      <c r="D95" s="26">
        <v>0</v>
      </c>
      <c r="E95" s="1477">
        <v>0</v>
      </c>
      <c r="F95" s="26">
        <v>0</v>
      </c>
      <c r="G95" s="1477">
        <v>0</v>
      </c>
      <c r="H95" s="26">
        <v>0</v>
      </c>
      <c r="I95" s="1477">
        <v>0</v>
      </c>
      <c r="J95" s="26">
        <v>0</v>
      </c>
      <c r="K95" s="1477">
        <v>350</v>
      </c>
      <c r="L95" s="26">
        <v>0</v>
      </c>
      <c r="M95" s="1477">
        <v>0</v>
      </c>
      <c r="N95" s="26">
        <v>0</v>
      </c>
      <c r="O95" s="1477">
        <v>0</v>
      </c>
      <c r="P95" s="26">
        <v>0</v>
      </c>
      <c r="Q95" s="1477">
        <v>0</v>
      </c>
      <c r="R95" s="26">
        <v>0</v>
      </c>
      <c r="S95" s="1477">
        <v>0</v>
      </c>
      <c r="T95" s="26">
        <v>0</v>
      </c>
      <c r="U95" s="1477">
        <v>0</v>
      </c>
      <c r="V95" s="26">
        <v>0</v>
      </c>
      <c r="W95" s="1477">
        <v>0</v>
      </c>
      <c r="X95" s="26">
        <v>0</v>
      </c>
      <c r="Y95" s="1477">
        <v>0</v>
      </c>
      <c r="Z95" s="26">
        <v>0</v>
      </c>
      <c r="AA95" s="1477">
        <v>0</v>
      </c>
      <c r="AB95" s="26">
        <v>0</v>
      </c>
      <c r="AC95" s="1477">
        <v>0</v>
      </c>
      <c r="AD95" s="26">
        <v>0</v>
      </c>
      <c r="AE95" s="1477">
        <v>0</v>
      </c>
      <c r="AF95" s="26">
        <v>0</v>
      </c>
      <c r="AG95" s="1477">
        <v>0</v>
      </c>
      <c r="AH95" s="26">
        <v>0</v>
      </c>
      <c r="AI95" s="1477">
        <v>0</v>
      </c>
      <c r="AJ95" s="26">
        <v>0</v>
      </c>
      <c r="AK95" s="1477">
        <v>0</v>
      </c>
      <c r="AL95" s="26">
        <v>0</v>
      </c>
      <c r="AM95" s="1477">
        <v>0</v>
      </c>
      <c r="AN95" s="26">
        <v>0</v>
      </c>
      <c r="AO95" s="27">
        <f t="shared" si="99"/>
        <v>350</v>
      </c>
      <c r="AP95" s="1494">
        <f t="shared" si="99"/>
        <v>0</v>
      </c>
      <c r="AQ95" s="1510">
        <v>0</v>
      </c>
      <c r="AR95" s="28">
        <v>0</v>
      </c>
      <c r="AS95" s="1503">
        <v>0</v>
      </c>
      <c r="AT95" s="1503">
        <v>0</v>
      </c>
      <c r="AU95" s="1503">
        <v>0</v>
      </c>
      <c r="AV95" s="1503">
        <v>0</v>
      </c>
      <c r="AW95" s="1503">
        <v>4</v>
      </c>
      <c r="AX95" s="1503">
        <v>0</v>
      </c>
      <c r="AY95" s="1503">
        <v>0</v>
      </c>
      <c r="AZ95" s="1503">
        <v>0</v>
      </c>
      <c r="BA95" s="1503">
        <v>0</v>
      </c>
      <c r="BB95" s="1503">
        <v>0</v>
      </c>
      <c r="BC95" s="1503">
        <v>0</v>
      </c>
      <c r="BD95" s="1503">
        <v>0</v>
      </c>
      <c r="BE95" s="1503">
        <v>0</v>
      </c>
      <c r="BF95" s="1503">
        <v>0</v>
      </c>
      <c r="BG95" s="1503">
        <v>0</v>
      </c>
      <c r="BH95" s="1503">
        <v>0</v>
      </c>
      <c r="BI95" s="1503">
        <v>0</v>
      </c>
      <c r="BJ95" s="1503">
        <v>0</v>
      </c>
      <c r="BK95" s="1503">
        <v>0</v>
      </c>
      <c r="BL95" s="1525">
        <f t="shared" si="98"/>
        <v>4</v>
      </c>
      <c r="BM95" s="1520">
        <v>0</v>
      </c>
    </row>
    <row r="96" spans="1:65" ht="21.95" customHeight="1">
      <c r="A96" s="1546">
        <v>14</v>
      </c>
      <c r="B96" s="30" t="s">
        <v>23</v>
      </c>
      <c r="C96" s="1477">
        <v>0</v>
      </c>
      <c r="D96" s="26">
        <v>0</v>
      </c>
      <c r="E96" s="1477">
        <v>0</v>
      </c>
      <c r="F96" s="26">
        <v>0</v>
      </c>
      <c r="G96" s="1477">
        <v>0</v>
      </c>
      <c r="H96" s="26">
        <v>0</v>
      </c>
      <c r="I96" s="1477">
        <v>0</v>
      </c>
      <c r="J96" s="26">
        <v>0</v>
      </c>
      <c r="K96" s="1477">
        <v>0</v>
      </c>
      <c r="L96" s="26">
        <v>0</v>
      </c>
      <c r="M96" s="1477">
        <v>0</v>
      </c>
      <c r="N96" s="26">
        <v>0</v>
      </c>
      <c r="O96" s="1477">
        <v>0</v>
      </c>
      <c r="P96" s="26">
        <v>0</v>
      </c>
      <c r="Q96" s="1477">
        <v>95</v>
      </c>
      <c r="R96" s="26">
        <v>1.6</v>
      </c>
      <c r="S96" s="1477">
        <v>0</v>
      </c>
      <c r="T96" s="26">
        <v>0</v>
      </c>
      <c r="U96" s="1477">
        <v>0</v>
      </c>
      <c r="V96" s="26">
        <v>0</v>
      </c>
      <c r="W96" s="1477">
        <v>0</v>
      </c>
      <c r="X96" s="26">
        <v>0</v>
      </c>
      <c r="Y96" s="1477">
        <v>0</v>
      </c>
      <c r="Z96" s="26">
        <v>0</v>
      </c>
      <c r="AA96" s="1477">
        <v>0</v>
      </c>
      <c r="AB96" s="26">
        <v>0</v>
      </c>
      <c r="AC96" s="1477">
        <v>0</v>
      </c>
      <c r="AD96" s="26">
        <v>0</v>
      </c>
      <c r="AE96" s="1477">
        <v>0</v>
      </c>
      <c r="AF96" s="26">
        <v>0</v>
      </c>
      <c r="AG96" s="1477">
        <v>0</v>
      </c>
      <c r="AH96" s="26">
        <v>0</v>
      </c>
      <c r="AI96" s="1477">
        <v>0</v>
      </c>
      <c r="AJ96" s="26">
        <v>0</v>
      </c>
      <c r="AK96" s="1477">
        <v>0</v>
      </c>
      <c r="AL96" s="26">
        <v>0</v>
      </c>
      <c r="AM96" s="1477">
        <v>0</v>
      </c>
      <c r="AN96" s="26">
        <v>0</v>
      </c>
      <c r="AO96" s="27">
        <f t="shared" si="99"/>
        <v>95</v>
      </c>
      <c r="AP96" s="1494">
        <f t="shared" si="99"/>
        <v>1.6</v>
      </c>
      <c r="AQ96" s="1510">
        <v>0</v>
      </c>
      <c r="AR96" s="28">
        <v>0</v>
      </c>
      <c r="AS96" s="1503">
        <v>0</v>
      </c>
      <c r="AT96" s="1503">
        <v>0</v>
      </c>
      <c r="AU96" s="1503">
        <v>0</v>
      </c>
      <c r="AV96" s="1503">
        <v>0</v>
      </c>
      <c r="AW96" s="1503">
        <v>0</v>
      </c>
      <c r="AX96" s="1503">
        <v>0</v>
      </c>
      <c r="AY96" s="1503">
        <v>0</v>
      </c>
      <c r="AZ96" s="1503">
        <v>0</v>
      </c>
      <c r="BA96" s="1503">
        <v>0</v>
      </c>
      <c r="BB96" s="1503">
        <v>0</v>
      </c>
      <c r="BC96" s="1503">
        <v>0</v>
      </c>
      <c r="BD96" s="1503">
        <v>0</v>
      </c>
      <c r="BE96" s="1503">
        <v>0</v>
      </c>
      <c r="BF96" s="1503">
        <v>0</v>
      </c>
      <c r="BG96" s="1503">
        <v>0</v>
      </c>
      <c r="BH96" s="1503">
        <v>0</v>
      </c>
      <c r="BI96" s="1503">
        <v>0</v>
      </c>
      <c r="BJ96" s="1503">
        <v>0</v>
      </c>
      <c r="BK96" s="1503">
        <v>0</v>
      </c>
      <c r="BL96" s="1525">
        <f t="shared" si="98"/>
        <v>0</v>
      </c>
      <c r="BM96" s="1520">
        <v>0</v>
      </c>
    </row>
    <row r="97" spans="1:65" ht="24.95" customHeight="1">
      <c r="A97" s="1394"/>
      <c r="B97" s="24" t="s">
        <v>90</v>
      </c>
      <c r="D97" s="1396"/>
      <c r="F97" s="1396"/>
      <c r="H97" s="1396"/>
      <c r="J97" s="1396"/>
      <c r="L97" s="1396"/>
      <c r="N97" s="1396"/>
      <c r="P97" s="1396"/>
      <c r="R97" s="1396"/>
      <c r="T97" s="1396"/>
      <c r="V97" s="1396"/>
      <c r="X97" s="1396"/>
      <c r="Z97" s="1396"/>
      <c r="AB97" s="1396"/>
      <c r="AD97" s="1396"/>
      <c r="AF97" s="1396"/>
      <c r="AH97" s="1396"/>
      <c r="AJ97" s="1396"/>
      <c r="AL97" s="1396"/>
      <c r="AN97" s="1396"/>
      <c r="AO97" s="1396"/>
      <c r="AP97" s="1495"/>
      <c r="AQ97" s="1385"/>
      <c r="AR97" s="1397"/>
      <c r="AS97" s="1504"/>
      <c r="AT97" s="1504"/>
      <c r="AU97" s="1504"/>
      <c r="AV97" s="1504"/>
      <c r="AW97" s="1504"/>
      <c r="AX97" s="1504"/>
      <c r="AY97" s="1504"/>
      <c r="AZ97" s="1504"/>
      <c r="BA97" s="1504"/>
      <c r="BB97" s="1504"/>
      <c r="BC97" s="1504"/>
      <c r="BD97" s="1504"/>
      <c r="BE97" s="1504"/>
      <c r="BF97" s="1504"/>
      <c r="BG97" s="1504"/>
      <c r="BH97" s="1504"/>
      <c r="BI97" s="1504"/>
      <c r="BJ97" s="1504"/>
      <c r="BK97" s="1504"/>
      <c r="BL97" s="1495"/>
      <c r="BM97" s="1522"/>
    </row>
    <row r="98" spans="1:65" ht="24.95" customHeight="1">
      <c r="A98" s="1546">
        <v>15</v>
      </c>
      <c r="B98" s="1442" t="s">
        <v>392</v>
      </c>
      <c r="C98" s="1477">
        <v>0</v>
      </c>
      <c r="D98" s="26">
        <v>0</v>
      </c>
      <c r="E98" s="1477">
        <v>0</v>
      </c>
      <c r="F98" s="26">
        <v>0</v>
      </c>
      <c r="G98" s="1477">
        <v>1099</v>
      </c>
      <c r="H98" s="26">
        <v>0</v>
      </c>
      <c r="I98" s="1477">
        <v>1516</v>
      </c>
      <c r="J98" s="26">
        <v>0</v>
      </c>
      <c r="K98" s="1477">
        <v>0</v>
      </c>
      <c r="L98" s="26">
        <v>0</v>
      </c>
      <c r="M98" s="1477">
        <v>1291.5899999999999</v>
      </c>
      <c r="N98" s="26">
        <v>35</v>
      </c>
      <c r="O98" s="1477">
        <v>0</v>
      </c>
      <c r="P98" s="26">
        <v>0</v>
      </c>
      <c r="Q98" s="1477">
        <v>0</v>
      </c>
      <c r="R98" s="26">
        <v>0</v>
      </c>
      <c r="S98" s="1477">
        <v>0</v>
      </c>
      <c r="T98" s="26">
        <v>0</v>
      </c>
      <c r="U98" s="1477">
        <v>0</v>
      </c>
      <c r="V98" s="26">
        <v>0</v>
      </c>
      <c r="W98" s="1477">
        <v>0</v>
      </c>
      <c r="X98" s="26">
        <v>0</v>
      </c>
      <c r="Y98" s="1477">
        <v>0</v>
      </c>
      <c r="Z98" s="26">
        <v>0</v>
      </c>
      <c r="AA98" s="1477">
        <v>687</v>
      </c>
      <c r="AB98" s="26">
        <v>0</v>
      </c>
      <c r="AC98" s="1477">
        <v>0</v>
      </c>
      <c r="AD98" s="26">
        <v>0</v>
      </c>
      <c r="AE98" s="1477">
        <v>0</v>
      </c>
      <c r="AF98" s="26">
        <v>0</v>
      </c>
      <c r="AG98" s="1477">
        <v>0</v>
      </c>
      <c r="AH98" s="26">
        <v>0</v>
      </c>
      <c r="AI98" s="1477">
        <v>964</v>
      </c>
      <c r="AJ98" s="26">
        <v>0</v>
      </c>
      <c r="AK98" s="1477">
        <v>0</v>
      </c>
      <c r="AL98" s="26">
        <v>0</v>
      </c>
      <c r="AM98" s="1477">
        <v>1970</v>
      </c>
      <c r="AN98" s="26">
        <v>78.08</v>
      </c>
      <c r="AO98" s="27">
        <f>SUMIF($C$70:$AN$70,AO$70,$C98:$AN98)</f>
        <v>7527.59</v>
      </c>
      <c r="AP98" s="1494">
        <f>SUMIF($C$70:$AN$70,AP$70,$C98:$AN98)</f>
        <v>113.08</v>
      </c>
      <c r="AQ98" s="1510">
        <v>0</v>
      </c>
      <c r="AR98" s="28">
        <v>0</v>
      </c>
      <c r="AS98" s="1501"/>
      <c r="AT98" s="1501"/>
      <c r="AU98" s="1501"/>
      <c r="AV98" s="1501"/>
      <c r="AW98" s="1501"/>
      <c r="AX98" s="1501"/>
      <c r="AY98" s="1501"/>
      <c r="AZ98" s="1501"/>
      <c r="BA98" s="1501"/>
      <c r="BB98" s="1501"/>
      <c r="BC98" s="1501"/>
      <c r="BD98" s="1501"/>
      <c r="BE98" s="1501"/>
      <c r="BF98" s="1501"/>
      <c r="BG98" s="1501"/>
      <c r="BH98" s="1501"/>
      <c r="BI98" s="1501"/>
      <c r="BJ98" s="1501"/>
      <c r="BK98" s="1501"/>
      <c r="BL98" s="1495"/>
      <c r="BM98" s="1518"/>
    </row>
    <row r="99" spans="1:65" ht="24.95" customHeight="1">
      <c r="A99" s="1546">
        <v>16</v>
      </c>
      <c r="B99" s="1442" t="s">
        <v>393</v>
      </c>
      <c r="C99" s="1477">
        <v>0</v>
      </c>
      <c r="D99" s="26">
        <v>0</v>
      </c>
      <c r="E99" s="1477">
        <v>45</v>
      </c>
      <c r="F99" s="26">
        <v>0</v>
      </c>
      <c r="G99" s="1477">
        <v>0</v>
      </c>
      <c r="H99" s="26">
        <v>0</v>
      </c>
      <c r="I99" s="1477">
        <v>0</v>
      </c>
      <c r="J99" s="26">
        <v>0</v>
      </c>
      <c r="K99" s="1477">
        <v>36</v>
      </c>
      <c r="L99" s="26">
        <v>0</v>
      </c>
      <c r="M99" s="1477">
        <v>58</v>
      </c>
      <c r="N99" s="26">
        <v>0</v>
      </c>
      <c r="O99" s="1477">
        <v>0</v>
      </c>
      <c r="P99" s="26">
        <v>0</v>
      </c>
      <c r="Q99" s="1477">
        <v>41</v>
      </c>
      <c r="R99" s="26">
        <v>0</v>
      </c>
      <c r="S99" s="1477">
        <v>0</v>
      </c>
      <c r="T99" s="26">
        <v>0</v>
      </c>
      <c r="U99" s="1477">
        <v>0</v>
      </c>
      <c r="V99" s="26">
        <v>0</v>
      </c>
      <c r="W99" s="1477">
        <v>0</v>
      </c>
      <c r="X99" s="26">
        <v>0</v>
      </c>
      <c r="Y99" s="1477">
        <v>38</v>
      </c>
      <c r="Z99" s="26">
        <v>0</v>
      </c>
      <c r="AA99" s="1477">
        <v>25</v>
      </c>
      <c r="AB99" s="26">
        <v>0</v>
      </c>
      <c r="AC99" s="1477">
        <v>0</v>
      </c>
      <c r="AD99" s="26">
        <v>0</v>
      </c>
      <c r="AE99" s="1477">
        <v>0</v>
      </c>
      <c r="AF99" s="26">
        <v>0</v>
      </c>
      <c r="AG99" s="1477">
        <v>0</v>
      </c>
      <c r="AH99" s="26">
        <v>0</v>
      </c>
      <c r="AI99" s="1477">
        <v>0</v>
      </c>
      <c r="AJ99" s="26">
        <v>0</v>
      </c>
      <c r="AK99" s="1477">
        <v>0</v>
      </c>
      <c r="AL99" s="26">
        <v>0</v>
      </c>
      <c r="AM99" s="1477">
        <v>0</v>
      </c>
      <c r="AN99" s="26">
        <v>0</v>
      </c>
      <c r="AO99" s="27">
        <f>SUMIF($C$70:$AN$70,AO$70,$C99:$AN99)</f>
        <v>243</v>
      </c>
      <c r="AP99" s="1494">
        <f>SUMIF($C$70:$AN$70,AP$70,$C99:$AN99)</f>
        <v>0</v>
      </c>
      <c r="AQ99" s="1510">
        <v>0</v>
      </c>
      <c r="AR99" s="28">
        <v>0</v>
      </c>
      <c r="AS99" s="1501"/>
      <c r="AT99" s="1501"/>
      <c r="AU99" s="1501"/>
      <c r="AV99" s="1501"/>
      <c r="AW99" s="1501"/>
      <c r="AX99" s="1501"/>
      <c r="AY99" s="1501"/>
      <c r="AZ99" s="1501"/>
      <c r="BA99" s="1501"/>
      <c r="BB99" s="1501"/>
      <c r="BC99" s="1501"/>
      <c r="BD99" s="1501"/>
      <c r="BE99" s="1501"/>
      <c r="BF99" s="1501"/>
      <c r="BG99" s="1501"/>
      <c r="BH99" s="1501"/>
      <c r="BI99" s="1501"/>
      <c r="BJ99" s="1501"/>
      <c r="BK99" s="1501"/>
      <c r="BL99" s="1495"/>
      <c r="BM99" s="1518"/>
    </row>
    <row r="100" spans="1:65" ht="24.95" customHeight="1">
      <c r="A100" s="1394"/>
      <c r="B100" s="23" t="s">
        <v>91</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1493"/>
      <c r="AQ100" s="1509"/>
      <c r="AR100" s="22"/>
      <c r="AS100" s="1501"/>
      <c r="AT100" s="1501"/>
      <c r="AU100" s="1501"/>
      <c r="AV100" s="1501"/>
      <c r="AW100" s="1501"/>
      <c r="AX100" s="1501"/>
      <c r="AY100" s="1501"/>
      <c r="AZ100" s="1501"/>
      <c r="BA100" s="1501"/>
      <c r="BB100" s="1501"/>
      <c r="BC100" s="1501"/>
      <c r="BD100" s="1501"/>
      <c r="BE100" s="1501"/>
      <c r="BF100" s="1501"/>
      <c r="BG100" s="1501"/>
      <c r="BH100" s="1501"/>
      <c r="BI100" s="1501"/>
      <c r="BJ100" s="1501"/>
      <c r="BK100" s="1501"/>
      <c r="BL100" s="1495"/>
      <c r="BM100" s="1518"/>
    </row>
    <row r="101" spans="1:65" ht="24.95" customHeight="1">
      <c r="A101" s="1546">
        <v>17</v>
      </c>
      <c r="B101" s="24" t="s">
        <v>96</v>
      </c>
      <c r="C101" s="1477">
        <v>2808.7000000000003</v>
      </c>
      <c r="D101" s="26">
        <v>115.5</v>
      </c>
      <c r="E101" s="1477">
        <v>1867.7</v>
      </c>
      <c r="F101" s="26">
        <v>48.6</v>
      </c>
      <c r="G101" s="1477">
        <v>1884.3</v>
      </c>
      <c r="H101" s="26">
        <v>17.5</v>
      </c>
      <c r="I101" s="1477">
        <v>2701.9</v>
      </c>
      <c r="J101" s="26">
        <v>136.5</v>
      </c>
      <c r="K101" s="1477">
        <v>3960.7999999999997</v>
      </c>
      <c r="L101" s="26">
        <v>50</v>
      </c>
      <c r="M101" s="1477">
        <v>2781</v>
      </c>
      <c r="N101" s="26">
        <v>281.3</v>
      </c>
      <c r="O101" s="1477">
        <v>134</v>
      </c>
      <c r="P101" s="26">
        <v>0</v>
      </c>
      <c r="Q101" s="1477">
        <v>5090.814000000003</v>
      </c>
      <c r="R101" s="26">
        <v>23.009</v>
      </c>
      <c r="S101" s="1477">
        <v>3391.2999999999997</v>
      </c>
      <c r="T101" s="26">
        <v>22</v>
      </c>
      <c r="U101" s="1477">
        <v>668.59999999999991</v>
      </c>
      <c r="V101" s="26">
        <v>87.5</v>
      </c>
      <c r="W101" s="1477">
        <v>0</v>
      </c>
      <c r="X101" s="26">
        <v>2438.1000000000004</v>
      </c>
      <c r="Y101" s="1477">
        <v>365.5</v>
      </c>
      <c r="Z101" s="26">
        <v>3.08</v>
      </c>
      <c r="AA101" s="1477">
        <v>1461.75</v>
      </c>
      <c r="AB101" s="26">
        <v>91.5</v>
      </c>
      <c r="AC101" s="1477">
        <v>0</v>
      </c>
      <c r="AD101" s="26">
        <v>0</v>
      </c>
      <c r="AE101" s="1477">
        <v>1042</v>
      </c>
      <c r="AF101" s="26">
        <v>43.5</v>
      </c>
      <c r="AG101" s="1477">
        <v>1411.1999999999998</v>
      </c>
      <c r="AH101" s="26">
        <v>2.4700000000000002</v>
      </c>
      <c r="AI101" s="1477">
        <v>1898.83</v>
      </c>
      <c r="AJ101" s="26">
        <v>17.68</v>
      </c>
      <c r="AK101" s="1477">
        <v>4977.67</v>
      </c>
      <c r="AL101" s="26">
        <v>175.63</v>
      </c>
      <c r="AM101" s="1477">
        <v>3010</v>
      </c>
      <c r="AN101" s="26">
        <v>242.91666666666669</v>
      </c>
      <c r="AO101" s="27">
        <f>SUMIF($C$70:$AN$70,AO$70,$C101:$AN101)</f>
        <v>39456.063999999998</v>
      </c>
      <c r="AP101" s="1494">
        <f>SUMIF($C$70:$AN$70,AP$70,$C101:$AN101)</f>
        <v>3796.7856666666667</v>
      </c>
      <c r="AQ101" s="1510">
        <v>0</v>
      </c>
      <c r="AR101" s="28">
        <v>1582.8200000000002</v>
      </c>
      <c r="AS101" s="1501"/>
      <c r="AT101" s="1501"/>
      <c r="AU101" s="1501"/>
      <c r="AV101" s="1501"/>
      <c r="AW101" s="1501"/>
      <c r="AX101" s="1501"/>
      <c r="AY101" s="1501"/>
      <c r="AZ101" s="1501"/>
      <c r="BA101" s="1501"/>
      <c r="BB101" s="1501"/>
      <c r="BC101" s="1501"/>
      <c r="BD101" s="1501"/>
      <c r="BE101" s="1501"/>
      <c r="BF101" s="1501"/>
      <c r="BG101" s="1501"/>
      <c r="BH101" s="1501"/>
      <c r="BI101" s="1501"/>
      <c r="BJ101" s="1501"/>
      <c r="BK101" s="1501"/>
      <c r="BL101" s="1495"/>
      <c r="BM101" s="1518"/>
    </row>
    <row r="102" spans="1:65" ht="24.95" customHeight="1">
      <c r="A102" s="1546">
        <v>18</v>
      </c>
      <c r="B102" s="24" t="s">
        <v>94</v>
      </c>
      <c r="C102" s="1477">
        <v>3853.9</v>
      </c>
      <c r="D102" s="26">
        <v>240</v>
      </c>
      <c r="E102" s="1477">
        <v>1412.2</v>
      </c>
      <c r="F102" s="26">
        <v>71.099999999999994</v>
      </c>
      <c r="G102" s="1477">
        <v>3259.8</v>
      </c>
      <c r="H102" s="26">
        <v>290.43</v>
      </c>
      <c r="I102" s="1477">
        <v>3611.8</v>
      </c>
      <c r="J102" s="26">
        <v>485.2</v>
      </c>
      <c r="K102" s="1477">
        <v>5393.9</v>
      </c>
      <c r="L102" s="26">
        <v>319.60000000000002</v>
      </c>
      <c r="M102" s="1477">
        <v>6492.52</v>
      </c>
      <c r="N102" s="26">
        <v>338.64</v>
      </c>
      <c r="O102" s="1477">
        <v>897.5</v>
      </c>
      <c r="P102" s="26">
        <v>3.8</v>
      </c>
      <c r="Q102" s="1477">
        <v>6413.5199999999995</v>
      </c>
      <c r="R102" s="26">
        <v>96.671000000000006</v>
      </c>
      <c r="S102" s="1477">
        <v>1291.25</v>
      </c>
      <c r="T102" s="26">
        <v>6.55</v>
      </c>
      <c r="U102" s="1477">
        <v>4100.1000000000004</v>
      </c>
      <c r="V102" s="26">
        <v>634.79999999999995</v>
      </c>
      <c r="W102" s="1477">
        <v>0</v>
      </c>
      <c r="X102" s="26">
        <v>3864.2</v>
      </c>
      <c r="Y102" s="1477">
        <v>2276.5</v>
      </c>
      <c r="Z102" s="26">
        <v>74.289999999999992</v>
      </c>
      <c r="AA102" s="1477">
        <v>4727.5</v>
      </c>
      <c r="AB102" s="26">
        <v>339.40999999999997</v>
      </c>
      <c r="AC102" s="1477">
        <v>515</v>
      </c>
      <c r="AD102" s="26">
        <v>0</v>
      </c>
      <c r="AE102" s="1477">
        <v>339</v>
      </c>
      <c r="AF102" s="26">
        <v>34.5</v>
      </c>
      <c r="AG102" s="1477">
        <v>1544.06</v>
      </c>
      <c r="AH102" s="26">
        <v>64.5</v>
      </c>
      <c r="AI102" s="1477">
        <v>3075.7100000000005</v>
      </c>
      <c r="AJ102" s="26">
        <v>66.48</v>
      </c>
      <c r="AK102" s="1477">
        <v>5366.33</v>
      </c>
      <c r="AL102" s="26">
        <v>299.06</v>
      </c>
      <c r="AM102" s="1477">
        <v>5015</v>
      </c>
      <c r="AN102" s="26">
        <v>461.91666666666663</v>
      </c>
      <c r="AO102" s="27">
        <f>SUMIF($C$70:$AN$70,AO$70,$C102:$AN102)</f>
        <v>59585.59</v>
      </c>
      <c r="AP102" s="1494">
        <f>SUMIF($C$70:$AN$70,AP$70,$C102:$AN102)</f>
        <v>7691.1476666666667</v>
      </c>
      <c r="AQ102" s="1510">
        <v>0</v>
      </c>
      <c r="AR102" s="28">
        <v>2625.76</v>
      </c>
      <c r="AS102" s="1501"/>
      <c r="AT102" s="1501"/>
      <c r="AU102" s="1501"/>
      <c r="AV102" s="1501"/>
      <c r="AW102" s="1501"/>
      <c r="AX102" s="1501"/>
      <c r="AY102" s="1501"/>
      <c r="AZ102" s="1501"/>
      <c r="BA102" s="1501"/>
      <c r="BB102" s="1501"/>
      <c r="BC102" s="1501"/>
      <c r="BD102" s="1501"/>
      <c r="BE102" s="1501"/>
      <c r="BF102" s="1501"/>
      <c r="BG102" s="1501"/>
      <c r="BH102" s="1501"/>
      <c r="BI102" s="1501"/>
      <c r="BJ102" s="1501"/>
      <c r="BK102" s="1501"/>
      <c r="BL102" s="1495"/>
      <c r="BM102" s="1518"/>
    </row>
    <row r="103" spans="1:65" ht="30" customHeight="1">
      <c r="A103" s="1385"/>
      <c r="B103" s="23" t="s">
        <v>2</v>
      </c>
      <c r="C103" s="27">
        <f>SUM(C88:C102)</f>
        <v>7886.2000000000007</v>
      </c>
      <c r="D103" s="27">
        <f t="shared" ref="D103:F103" si="100">SUM(D88:D102)</f>
        <v>355.5</v>
      </c>
      <c r="E103" s="27">
        <f>SUM(E88:E102)</f>
        <v>3324.9</v>
      </c>
      <c r="F103" s="27">
        <f t="shared" si="100"/>
        <v>119.69999999999999</v>
      </c>
      <c r="G103" s="27">
        <f>SUM(G88:G102)</f>
        <v>7365.1</v>
      </c>
      <c r="H103" s="27">
        <f t="shared" ref="H103" si="101">SUM(H88:H102)</f>
        <v>311.73</v>
      </c>
      <c r="I103" s="27">
        <f>SUM(I88:I102)</f>
        <v>7829.7</v>
      </c>
      <c r="J103" s="27">
        <f t="shared" ref="J103" si="102">SUM(J88:J102)</f>
        <v>621.70000000000005</v>
      </c>
      <c r="K103" s="27">
        <f>SUM(K88:K102)</f>
        <v>10973.699999999999</v>
      </c>
      <c r="L103" s="27">
        <f t="shared" ref="L103" si="103">SUM(L88:L102)</f>
        <v>369.6</v>
      </c>
      <c r="M103" s="27">
        <f>SUM(M88:M102)</f>
        <v>10623.11</v>
      </c>
      <c r="N103" s="27">
        <f t="shared" ref="N103" si="104">SUM(N88:N102)</f>
        <v>654.94000000000005</v>
      </c>
      <c r="O103" s="27">
        <f>SUM(O88:O102)</f>
        <v>1031.5</v>
      </c>
      <c r="P103" s="27">
        <f t="shared" ref="P103" si="105">SUM(P88:P102)</f>
        <v>3.8</v>
      </c>
      <c r="Q103" s="27">
        <f>SUM(Q88:Q102)</f>
        <v>13538.334000000003</v>
      </c>
      <c r="R103" s="27">
        <f t="shared" ref="R103" si="106">SUM(R88:R102)</f>
        <v>126.88000000000001</v>
      </c>
      <c r="S103" s="27">
        <f>SUM(S88:S102)</f>
        <v>4682.5499999999993</v>
      </c>
      <c r="T103" s="27">
        <f t="shared" ref="T103" si="107">SUM(T88:T102)</f>
        <v>28.55</v>
      </c>
      <c r="U103" s="27">
        <f>SUM(U88:U102)</f>
        <v>4768.7000000000007</v>
      </c>
      <c r="V103" s="27">
        <f t="shared" ref="V103" si="108">SUM(V88:V102)</f>
        <v>722.3</v>
      </c>
      <c r="W103" s="27">
        <f>SUM(W88:W102)</f>
        <v>0</v>
      </c>
      <c r="X103" s="27">
        <f t="shared" ref="X103" si="109">SUM(X88:X102)</f>
        <v>6302.3</v>
      </c>
      <c r="Y103" s="27">
        <f>SUM(Y88:Y102)</f>
        <v>2680</v>
      </c>
      <c r="Z103" s="27">
        <f t="shared" ref="Z103" si="110">SUM(Z88:Z102)</f>
        <v>77.36999999999999</v>
      </c>
      <c r="AA103" s="27">
        <f>SUM(AA88:AA102)</f>
        <v>6901.25</v>
      </c>
      <c r="AB103" s="27">
        <f t="shared" ref="AB103" si="111">SUM(AB88:AB102)</f>
        <v>430.90999999999997</v>
      </c>
      <c r="AC103" s="27">
        <f>SUM(AC88:AC102)</f>
        <v>607</v>
      </c>
      <c r="AD103" s="27">
        <f t="shared" ref="AD103" si="112">SUM(AD88:AD102)</f>
        <v>0</v>
      </c>
      <c r="AE103" s="27">
        <f>SUM(AE88:AE102)</f>
        <v>1381</v>
      </c>
      <c r="AF103" s="27">
        <f t="shared" ref="AF103" si="113">SUM(AF88:AF102)</f>
        <v>78</v>
      </c>
      <c r="AG103" s="27">
        <f>SUM(AG88:AG102)</f>
        <v>3286.2599999999998</v>
      </c>
      <c r="AH103" s="27">
        <f t="shared" ref="AH103" si="114">SUM(AH88:AH102)</f>
        <v>66.97</v>
      </c>
      <c r="AI103" s="27">
        <f>SUM(AI88:AI102)</f>
        <v>6083.34</v>
      </c>
      <c r="AJ103" s="27">
        <f t="shared" ref="AJ103" si="115">SUM(AJ88:AJ102)</f>
        <v>85.19</v>
      </c>
      <c r="AK103" s="27">
        <f>SUM(AK88:AK102)</f>
        <v>10880</v>
      </c>
      <c r="AL103" s="27">
        <f t="shared" ref="AL103:AN103" si="116">SUM(AL88:AL102)</f>
        <v>479.69</v>
      </c>
      <c r="AM103" s="27">
        <f>SUM(AM88:AM102)</f>
        <v>10272</v>
      </c>
      <c r="AN103" s="27">
        <f t="shared" si="116"/>
        <v>783.74666666666667</v>
      </c>
      <c r="AO103" s="27">
        <f t="shared" ref="AO103:AP103" si="117">SUM(AO88:AO102)</f>
        <v>114114.644</v>
      </c>
      <c r="AP103" s="1494">
        <f t="shared" si="117"/>
        <v>11618.876666666667</v>
      </c>
      <c r="AQ103" s="580">
        <f>SUM(AQ88:AQ102)</f>
        <v>0</v>
      </c>
      <c r="AR103" s="29">
        <f t="shared" ref="AR103" si="118">SUM(AR88:AR102)</f>
        <v>4208.58</v>
      </c>
      <c r="AS103" s="1505"/>
      <c r="AT103" s="1505"/>
      <c r="AU103" s="1505"/>
      <c r="AV103" s="1505"/>
      <c r="AW103" s="1505"/>
      <c r="AX103" s="1505"/>
      <c r="AY103" s="1505"/>
      <c r="AZ103" s="1505"/>
      <c r="BA103" s="1505"/>
      <c r="BB103" s="1505"/>
      <c r="BC103" s="1505"/>
      <c r="BD103" s="1505"/>
      <c r="BE103" s="1505"/>
      <c r="BF103" s="1505"/>
      <c r="BG103" s="1505"/>
      <c r="BH103" s="1505"/>
      <c r="BI103" s="1505"/>
      <c r="BJ103" s="1505"/>
      <c r="BK103" s="1505"/>
      <c r="BL103" s="1495"/>
      <c r="BM103" s="1523"/>
    </row>
    <row r="104" spans="1:65" ht="30" customHeight="1" thickBot="1">
      <c r="A104" s="1398">
        <v>19</v>
      </c>
      <c r="B104" s="1399" t="s">
        <v>97</v>
      </c>
      <c r="C104" s="34">
        <f>SUM(C73,C78,C84,C103)</f>
        <v>9110.8000000000011</v>
      </c>
      <c r="D104" s="34">
        <f t="shared" ref="D104" si="119">SUM(D73,D78,D84,D103)</f>
        <v>707.90000000000009</v>
      </c>
      <c r="E104" s="34">
        <f>SUM(E73,E78,E84,E103)</f>
        <v>3436.4</v>
      </c>
      <c r="F104" s="34">
        <f t="shared" ref="F104" si="120">SUM(F73,F78,F84,F103)</f>
        <v>190.6</v>
      </c>
      <c r="G104" s="34">
        <f>SUM(G73,G78,G84,G103)</f>
        <v>8279.4</v>
      </c>
      <c r="H104" s="34">
        <f t="shared" ref="H104" si="121">SUM(H73,H78,H84,H103)</f>
        <v>919.13</v>
      </c>
      <c r="I104" s="34">
        <f>SUM(I73,I78,I84,I103)</f>
        <v>8466.7000000000007</v>
      </c>
      <c r="J104" s="34">
        <f t="shared" ref="J104" si="122">SUM(J73,J78,J84,J103)</f>
        <v>902.90000000000009</v>
      </c>
      <c r="K104" s="34">
        <f>SUM(K73,K78,K84,K103)</f>
        <v>13882.699999999999</v>
      </c>
      <c r="L104" s="34">
        <f t="shared" ref="L104" si="123">SUM(L73,L78,L84,L103)</f>
        <v>824.9</v>
      </c>
      <c r="M104" s="34">
        <f>SUM(M73,M78,M84,M103)</f>
        <v>11037.060000000001</v>
      </c>
      <c r="N104" s="34">
        <f t="shared" ref="N104" si="124">SUM(N73,N78,N84,N103)</f>
        <v>854.29000000000008</v>
      </c>
      <c r="O104" s="34">
        <f>SUM(O73,O78,O84,O103)</f>
        <v>1258.5</v>
      </c>
      <c r="P104" s="34">
        <f t="shared" ref="P104" si="125">SUM(P73,P78,P84,P103)</f>
        <v>13.600000000000001</v>
      </c>
      <c r="Q104" s="34">
        <f>SUM(Q73,Q78,Q84,Q103)</f>
        <v>15971.484000000002</v>
      </c>
      <c r="R104" s="34">
        <f t="shared" ref="R104" si="126">SUM(R73,R78,R84,R103)</f>
        <v>901.71133300000008</v>
      </c>
      <c r="S104" s="34">
        <f>SUM(S73,S78,S84,S103)</f>
        <v>5487.2499999999991</v>
      </c>
      <c r="T104" s="34">
        <f t="shared" ref="T104" si="127">SUM(T73,T78,T84,T103)</f>
        <v>122.33999999999999</v>
      </c>
      <c r="U104" s="34">
        <f>SUM(U73,U78,U84,U103)</f>
        <v>4848.9500000000007</v>
      </c>
      <c r="V104" s="34">
        <f t="shared" ref="V104" si="128">SUM(V73,V78,V84,V103)</f>
        <v>815.19999999999993</v>
      </c>
      <c r="W104" s="34">
        <f>SUM(W73,W78,W84,W103)</f>
        <v>0</v>
      </c>
      <c r="X104" s="34">
        <f t="shared" ref="X104" si="129">SUM(X73,X78,X84,X103)</f>
        <v>6430.63</v>
      </c>
      <c r="Y104" s="34">
        <f>SUM(Y73,Y78,Y84,Y103)</f>
        <v>2854</v>
      </c>
      <c r="Z104" s="34">
        <f t="shared" ref="Z104" si="130">SUM(Z73,Z78,Z84,Z103)</f>
        <v>274.68</v>
      </c>
      <c r="AA104" s="34">
        <f>SUM(AA73,AA78,AA84,AA103)</f>
        <v>7136.75</v>
      </c>
      <c r="AB104" s="34">
        <f t="shared" ref="AB104" si="131">SUM(AB73,AB78,AB84,AB103)</f>
        <v>674.68999999999994</v>
      </c>
      <c r="AC104" s="34">
        <f>SUM(AC73,AC78,AC84,AC103)</f>
        <v>678</v>
      </c>
      <c r="AD104" s="34">
        <f t="shared" ref="AD104" si="132">SUM(AD73,AD78,AD84,AD103)</f>
        <v>8.5</v>
      </c>
      <c r="AE104" s="34">
        <f>SUM(AE73,AE78,AE84,AE103)</f>
        <v>1381</v>
      </c>
      <c r="AF104" s="34">
        <f t="shared" ref="AF104" si="133">SUM(AF73,AF78,AF84,AF103)</f>
        <v>86.5</v>
      </c>
      <c r="AG104" s="34">
        <f>SUM(AG73,AG78,AG84,AG103)</f>
        <v>4201.01</v>
      </c>
      <c r="AH104" s="34">
        <f t="shared" ref="AH104" si="134">SUM(AH73,AH78,AH84,AH103)</f>
        <v>133.11000000000001</v>
      </c>
      <c r="AI104" s="34">
        <f>SUM(AI73,AI78,AI84,AI103)</f>
        <v>6538.17</v>
      </c>
      <c r="AJ104" s="34">
        <f t="shared" ref="AJ104" si="135">SUM(AJ73,AJ78,AJ84,AJ103)</f>
        <v>371.3</v>
      </c>
      <c r="AK104" s="34">
        <f>SUM(AK73,AK78,AK84,AK103)</f>
        <v>12853.15</v>
      </c>
      <c r="AL104" s="34">
        <f t="shared" ref="AL104:AN104" si="136">SUM(AL73,AL78,AL84,AL103)</f>
        <v>595.02</v>
      </c>
      <c r="AM104" s="34">
        <f>SUM(AM73,AM78,AM84,AM103)</f>
        <v>10930.5</v>
      </c>
      <c r="AN104" s="34">
        <f t="shared" si="136"/>
        <v>1087.6633333333334</v>
      </c>
      <c r="AO104" s="34">
        <f t="shared" ref="AO104:AP104" si="137">SUM(AO73,AO78,AO84,AO103)</f>
        <v>128351.82399999999</v>
      </c>
      <c r="AP104" s="34">
        <f t="shared" si="137"/>
        <v>15914.664666333334</v>
      </c>
      <c r="AQ104" s="581">
        <f>SUM(AQ73,AQ78,AQ84,AQ103)</f>
        <v>0</v>
      </c>
      <c r="AR104" s="35">
        <f t="shared" ref="AR104" si="138">SUM(AR73,AR78,AR84,AR103)</f>
        <v>4305.08</v>
      </c>
      <c r="AS104" s="1506"/>
      <c r="AT104" s="1506"/>
      <c r="AU104" s="1506"/>
      <c r="AV104" s="1506"/>
      <c r="AW104" s="1506"/>
      <c r="AX104" s="1506"/>
      <c r="AY104" s="1506"/>
      <c r="AZ104" s="1506"/>
      <c r="BA104" s="1506"/>
      <c r="BB104" s="1506"/>
      <c r="BC104" s="1506"/>
      <c r="BD104" s="1506"/>
      <c r="BE104" s="1506"/>
      <c r="BF104" s="1506"/>
      <c r="BG104" s="1506"/>
      <c r="BH104" s="1506"/>
      <c r="BI104" s="1506"/>
      <c r="BJ104" s="1506"/>
      <c r="BK104" s="1506"/>
      <c r="BL104" s="1514"/>
      <c r="BM104" s="1524"/>
    </row>
    <row r="105" spans="1:65" ht="24.95" customHeight="1">
      <c r="A105" s="1400" t="s">
        <v>107</v>
      </c>
      <c r="C105" s="1478">
        <v>9110.8000000000011</v>
      </c>
      <c r="D105" s="1478">
        <v>707.90000000000009</v>
      </c>
      <c r="E105" s="1478">
        <v>3436.4</v>
      </c>
      <c r="F105" s="1478">
        <v>190.6</v>
      </c>
      <c r="G105" s="1478">
        <v>8279.4</v>
      </c>
      <c r="H105" s="1478">
        <v>919.13</v>
      </c>
      <c r="I105" s="1478">
        <v>8466.7000000000007</v>
      </c>
      <c r="J105" s="1478">
        <v>902.90000000000009</v>
      </c>
      <c r="K105" s="1478">
        <v>13882.699999999999</v>
      </c>
      <c r="L105" s="1478">
        <v>824.9</v>
      </c>
      <c r="M105" s="1478">
        <v>11037.060000000001</v>
      </c>
      <c r="N105" s="1478">
        <v>854.29000000000008</v>
      </c>
      <c r="O105" s="1478">
        <v>1258.5</v>
      </c>
      <c r="P105" s="1478">
        <v>13.600000000000001</v>
      </c>
      <c r="Q105" s="1478">
        <v>15971.484000000002</v>
      </c>
      <c r="R105" s="1478">
        <v>901.71133300000008</v>
      </c>
      <c r="S105" s="1478">
        <v>5487.2499999999991</v>
      </c>
      <c r="T105" s="1478">
        <v>122.33999999999999</v>
      </c>
      <c r="U105" s="1478">
        <v>4848.9500000000007</v>
      </c>
      <c r="V105" s="1478">
        <v>815.19999999999993</v>
      </c>
      <c r="W105" s="1478">
        <v>0</v>
      </c>
      <c r="X105" s="1478">
        <v>6430.63</v>
      </c>
      <c r="Y105" s="1478">
        <v>2854</v>
      </c>
      <c r="Z105" s="1478">
        <v>274.68</v>
      </c>
      <c r="AA105" s="1478">
        <v>7136.75</v>
      </c>
      <c r="AB105" s="1478">
        <v>674.68999999999994</v>
      </c>
      <c r="AC105" s="1478">
        <v>678</v>
      </c>
      <c r="AD105" s="1478">
        <v>8.5</v>
      </c>
      <c r="AE105" s="1478">
        <v>1381</v>
      </c>
      <c r="AF105" s="1478">
        <v>86.5</v>
      </c>
      <c r="AG105" s="1478">
        <v>4201.01</v>
      </c>
      <c r="AH105" s="1478">
        <v>133.11000000000001</v>
      </c>
      <c r="AI105" s="1478">
        <v>6538.17</v>
      </c>
      <c r="AJ105" s="1478">
        <v>371.3</v>
      </c>
      <c r="AK105" s="1478">
        <v>12853.15</v>
      </c>
      <c r="AL105" s="1478">
        <v>595.02</v>
      </c>
      <c r="AM105" s="1478">
        <v>10930.5</v>
      </c>
      <c r="AN105" s="1478">
        <v>1087.6633333333334</v>
      </c>
      <c r="AO105" s="1478">
        <v>128351.82399999999</v>
      </c>
      <c r="AP105" s="1478">
        <v>15914.664666333334</v>
      </c>
      <c r="AQ105" s="1478">
        <v>0</v>
      </c>
      <c r="AR105" s="1478">
        <v>4305.08</v>
      </c>
      <c r="AS105" s="1478"/>
    </row>
    <row r="107" spans="1:65" ht="20.100000000000001" customHeight="1">
      <c r="A107" s="1288" t="s">
        <v>232</v>
      </c>
    </row>
    <row r="109" spans="1:65" ht="20.100000000000001" customHeight="1">
      <c r="A109" s="1289" t="s">
        <v>133</v>
      </c>
    </row>
    <row r="110" spans="1:65" ht="20.100000000000001" customHeight="1">
      <c r="A110" s="1290">
        <v>1</v>
      </c>
      <c r="B110" s="1290">
        <v>2</v>
      </c>
      <c r="C110" s="1290">
        <v>3</v>
      </c>
      <c r="D110" s="1290">
        <v>4</v>
      </c>
      <c r="E110" s="1290">
        <v>5</v>
      </c>
      <c r="F110" s="1290">
        <v>6</v>
      </c>
      <c r="G110" s="1290">
        <v>7</v>
      </c>
      <c r="H110" s="1290">
        <v>8</v>
      </c>
      <c r="I110" s="1290">
        <v>9</v>
      </c>
      <c r="J110" s="1290">
        <v>10</v>
      </c>
      <c r="K110" s="1290">
        <v>11</v>
      </c>
      <c r="L110" s="1290">
        <v>12</v>
      </c>
      <c r="M110" s="1290">
        <v>13</v>
      </c>
      <c r="N110" s="1290">
        <v>14</v>
      </c>
      <c r="O110" s="1290">
        <v>15</v>
      </c>
      <c r="P110" s="1290">
        <v>16</v>
      </c>
      <c r="Q110" s="1290">
        <v>17</v>
      </c>
      <c r="R110" s="1290">
        <v>18</v>
      </c>
      <c r="S110" s="1290">
        <v>19</v>
      </c>
      <c r="T110" s="1290">
        <v>20</v>
      </c>
      <c r="U110" s="1290">
        <v>21</v>
      </c>
      <c r="V110" s="1290">
        <v>22</v>
      </c>
      <c r="W110" s="1290">
        <v>23</v>
      </c>
      <c r="X110" s="1290">
        <v>24</v>
      </c>
      <c r="Y110" s="1290">
        <v>25</v>
      </c>
      <c r="Z110" s="1290">
        <v>26</v>
      </c>
      <c r="AA110" s="1290">
        <v>27</v>
      </c>
      <c r="AB110" s="1290">
        <v>28</v>
      </c>
      <c r="AC110" s="1290">
        <v>29</v>
      </c>
      <c r="AD110" s="1290">
        <v>30</v>
      </c>
      <c r="AE110" s="1290">
        <v>31</v>
      </c>
      <c r="AF110" s="1290">
        <v>32</v>
      </c>
      <c r="AG110" s="1290">
        <v>33</v>
      </c>
      <c r="AH110" s="1290">
        <v>34</v>
      </c>
      <c r="AI110" s="1290">
        <v>35</v>
      </c>
      <c r="AJ110" s="1290">
        <v>36</v>
      </c>
      <c r="AK110" s="1290">
        <v>37</v>
      </c>
      <c r="AL110" s="1290">
        <v>38</v>
      </c>
      <c r="AM110" s="1290">
        <v>39</v>
      </c>
      <c r="AN110" s="1290">
        <v>40</v>
      </c>
      <c r="AO110" s="1290">
        <v>41</v>
      </c>
      <c r="AP110" s="1290">
        <v>42</v>
      </c>
      <c r="AQ110" s="1290">
        <v>43</v>
      </c>
      <c r="AR110" s="1290">
        <v>44</v>
      </c>
      <c r="AS110" s="1290"/>
      <c r="AT110" s="1290"/>
      <c r="AU110" s="1290"/>
    </row>
    <row r="111" spans="1:65" ht="15.75" thickBot="1"/>
    <row r="112" spans="1:65" ht="60" customHeight="1">
      <c r="A112" s="1291"/>
      <c r="B112" s="1401"/>
      <c r="C112" s="1845" t="s">
        <v>148</v>
      </c>
      <c r="D112" s="1854"/>
      <c r="E112" s="1844" t="s">
        <v>149</v>
      </c>
      <c r="F112" s="1847"/>
      <c r="G112" s="1845" t="s">
        <v>150</v>
      </c>
      <c r="H112" s="1854"/>
      <c r="I112" s="1855" t="s">
        <v>161</v>
      </c>
      <c r="J112" s="1847"/>
      <c r="K112" s="1845" t="s">
        <v>160</v>
      </c>
      <c r="L112" s="1854"/>
      <c r="M112" s="1844" t="s">
        <v>159</v>
      </c>
      <c r="N112" s="1845"/>
      <c r="O112" s="1846" t="s">
        <v>49</v>
      </c>
      <c r="P112" s="1847"/>
      <c r="Q112" s="1846" t="s">
        <v>50</v>
      </c>
      <c r="R112" s="1847"/>
      <c r="S112" s="1844" t="s">
        <v>162</v>
      </c>
      <c r="T112" s="1848"/>
      <c r="U112" s="1844" t="s">
        <v>158</v>
      </c>
      <c r="V112" s="1848"/>
      <c r="W112" s="1844" t="s">
        <v>163</v>
      </c>
      <c r="X112" s="1848"/>
      <c r="Y112" s="1844" t="s">
        <v>156</v>
      </c>
      <c r="Z112" s="1848"/>
      <c r="AA112" s="1844" t="s">
        <v>155</v>
      </c>
      <c r="AB112" s="1848"/>
      <c r="AC112" s="1849" t="s">
        <v>157</v>
      </c>
      <c r="AD112" s="1850"/>
      <c r="AE112" s="1846" t="s">
        <v>196</v>
      </c>
      <c r="AF112" s="1847"/>
      <c r="AG112" s="1844" t="s">
        <v>154</v>
      </c>
      <c r="AH112" s="1848"/>
      <c r="AI112" s="1844" t="s">
        <v>153</v>
      </c>
      <c r="AJ112" s="1848"/>
      <c r="AK112" s="1844" t="s">
        <v>152</v>
      </c>
      <c r="AL112" s="1848"/>
      <c r="AM112" s="1844" t="s">
        <v>151</v>
      </c>
      <c r="AN112" s="1845"/>
      <c r="AO112" s="1851" t="s">
        <v>2</v>
      </c>
      <c r="AP112" s="1852"/>
      <c r="AQ112" s="1845" t="s">
        <v>164</v>
      </c>
      <c r="AR112" s="1853"/>
    </row>
    <row r="113" spans="1:44" ht="24.95" customHeight="1">
      <c r="A113" s="1385"/>
      <c r="B113" s="1386" t="s">
        <v>165</v>
      </c>
      <c r="C113" s="1387" t="s">
        <v>43</v>
      </c>
      <c r="D113" s="1388" t="s">
        <v>32</v>
      </c>
      <c r="E113" s="1388" t="s">
        <v>43</v>
      </c>
      <c r="F113" s="1388" t="s">
        <v>32</v>
      </c>
      <c r="G113" s="1388" t="s">
        <v>43</v>
      </c>
      <c r="H113" s="1388" t="s">
        <v>32</v>
      </c>
      <c r="I113" s="1388" t="s">
        <v>43</v>
      </c>
      <c r="J113" s="1388" t="s">
        <v>32</v>
      </c>
      <c r="K113" s="1388" t="s">
        <v>43</v>
      </c>
      <c r="L113" s="1388" t="s">
        <v>32</v>
      </c>
      <c r="M113" s="1388" t="s">
        <v>43</v>
      </c>
      <c r="N113" s="1388" t="s">
        <v>32</v>
      </c>
      <c r="O113" s="1388" t="s">
        <v>43</v>
      </c>
      <c r="P113" s="1388" t="s">
        <v>32</v>
      </c>
      <c r="Q113" s="1388" t="s">
        <v>43</v>
      </c>
      <c r="R113" s="1388" t="s">
        <v>32</v>
      </c>
      <c r="S113" s="1388" t="s">
        <v>43</v>
      </c>
      <c r="T113" s="1388" t="s">
        <v>32</v>
      </c>
      <c r="U113" s="1388" t="s">
        <v>43</v>
      </c>
      <c r="V113" s="1388" t="s">
        <v>32</v>
      </c>
      <c r="W113" s="1388" t="s">
        <v>43</v>
      </c>
      <c r="X113" s="1388" t="s">
        <v>32</v>
      </c>
      <c r="Y113" s="1388" t="s">
        <v>43</v>
      </c>
      <c r="Z113" s="1388" t="s">
        <v>32</v>
      </c>
      <c r="AA113" s="1388" t="s">
        <v>43</v>
      </c>
      <c r="AB113" s="1388" t="s">
        <v>32</v>
      </c>
      <c r="AC113" s="1388" t="s">
        <v>43</v>
      </c>
      <c r="AD113" s="1388" t="s">
        <v>32</v>
      </c>
      <c r="AE113" s="1388" t="s">
        <v>43</v>
      </c>
      <c r="AF113" s="1388" t="s">
        <v>32</v>
      </c>
      <c r="AG113" s="1388" t="s">
        <v>43</v>
      </c>
      <c r="AH113" s="1388" t="s">
        <v>32</v>
      </c>
      <c r="AI113" s="1388" t="s">
        <v>43</v>
      </c>
      <c r="AJ113" s="1388" t="s">
        <v>32</v>
      </c>
      <c r="AK113" s="1388" t="s">
        <v>43</v>
      </c>
      <c r="AL113" s="1388" t="s">
        <v>32</v>
      </c>
      <c r="AM113" s="1388" t="s">
        <v>43</v>
      </c>
      <c r="AN113" s="1490" t="s">
        <v>32</v>
      </c>
      <c r="AO113" s="1496" t="s">
        <v>43</v>
      </c>
      <c r="AP113" s="1497" t="s">
        <v>32</v>
      </c>
      <c r="AQ113" s="1530" t="s">
        <v>43</v>
      </c>
      <c r="AR113" s="1389" t="s">
        <v>32</v>
      </c>
    </row>
    <row r="114" spans="1:44" ht="24.95" customHeight="1">
      <c r="A114" s="1390"/>
      <c r="B114" s="1402"/>
      <c r="C114" s="1387" t="s">
        <v>18</v>
      </c>
      <c r="D114" s="1324" t="s">
        <v>18</v>
      </c>
      <c r="E114" s="1323" t="s">
        <v>18</v>
      </c>
      <c r="F114" s="1324" t="s">
        <v>18</v>
      </c>
      <c r="G114" s="1323" t="s">
        <v>18</v>
      </c>
      <c r="H114" s="1322" t="s">
        <v>18</v>
      </c>
      <c r="I114" s="1322" t="s">
        <v>18</v>
      </c>
      <c r="J114" s="1322" t="s">
        <v>18</v>
      </c>
      <c r="K114" s="1322" t="s">
        <v>18</v>
      </c>
      <c r="L114" s="1322" t="s">
        <v>18</v>
      </c>
      <c r="M114" s="1322" t="s">
        <v>18</v>
      </c>
      <c r="N114" s="1322" t="s">
        <v>18</v>
      </c>
      <c r="O114" s="1322" t="s">
        <v>18</v>
      </c>
      <c r="P114" s="1323" t="s">
        <v>18</v>
      </c>
      <c r="Q114" s="1322" t="s">
        <v>18</v>
      </c>
      <c r="R114" s="1322" t="s">
        <v>18</v>
      </c>
      <c r="S114" s="1322" t="s">
        <v>18</v>
      </c>
      <c r="T114" s="1322" t="s">
        <v>18</v>
      </c>
      <c r="U114" s="1322" t="s">
        <v>18</v>
      </c>
      <c r="V114" s="1322" t="s">
        <v>18</v>
      </c>
      <c r="W114" s="1322" t="s">
        <v>18</v>
      </c>
      <c r="X114" s="1322" t="s">
        <v>18</v>
      </c>
      <c r="Y114" s="1323" t="s">
        <v>18</v>
      </c>
      <c r="Z114" s="1323" t="s">
        <v>18</v>
      </c>
      <c r="AA114" s="1323" t="s">
        <v>18</v>
      </c>
      <c r="AB114" s="1323" t="s">
        <v>18</v>
      </c>
      <c r="AC114" s="1323" t="s">
        <v>18</v>
      </c>
      <c r="AD114" s="1323" t="s">
        <v>18</v>
      </c>
      <c r="AE114" s="1323" t="s">
        <v>18</v>
      </c>
      <c r="AF114" s="1323" t="s">
        <v>18</v>
      </c>
      <c r="AG114" s="1322" t="s">
        <v>18</v>
      </c>
      <c r="AH114" s="1323" t="s">
        <v>18</v>
      </c>
      <c r="AI114" s="1323" t="s">
        <v>18</v>
      </c>
      <c r="AJ114" s="1323" t="s">
        <v>18</v>
      </c>
      <c r="AK114" s="1323" t="s">
        <v>18</v>
      </c>
      <c r="AL114" s="1323" t="s">
        <v>18</v>
      </c>
      <c r="AM114" s="1387" t="s">
        <v>18</v>
      </c>
      <c r="AN114" s="1491" t="s">
        <v>18</v>
      </c>
      <c r="AO114" s="1536" t="s">
        <v>18</v>
      </c>
      <c r="AP114" s="1325" t="s">
        <v>18</v>
      </c>
      <c r="AQ114" s="1488" t="s">
        <v>18</v>
      </c>
      <c r="AR114" s="1325" t="s">
        <v>18</v>
      </c>
    </row>
    <row r="115" spans="1:44" ht="24.95" customHeight="1">
      <c r="A115" s="1393"/>
      <c r="B115" s="1403"/>
      <c r="C115" s="1541">
        <v>1</v>
      </c>
      <c r="D115" s="1485">
        <v>2</v>
      </c>
      <c r="E115" s="1541">
        <v>3</v>
      </c>
      <c r="F115" s="1485">
        <v>4</v>
      </c>
      <c r="G115" s="1541">
        <v>5</v>
      </c>
      <c r="H115" s="1485">
        <v>6</v>
      </c>
      <c r="I115" s="1541">
        <v>7</v>
      </c>
      <c r="J115" s="1485">
        <v>8</v>
      </c>
      <c r="K115" s="1541">
        <v>9</v>
      </c>
      <c r="L115" s="1485">
        <v>10</v>
      </c>
      <c r="M115" s="1541">
        <v>11</v>
      </c>
      <c r="N115" s="1485">
        <v>12</v>
      </c>
      <c r="O115" s="1541">
        <v>13</v>
      </c>
      <c r="P115" s="1485">
        <v>14</v>
      </c>
      <c r="Q115" s="1541">
        <v>15</v>
      </c>
      <c r="R115" s="1485">
        <v>16</v>
      </c>
      <c r="S115" s="1541">
        <v>17</v>
      </c>
      <c r="T115" s="1485">
        <v>18</v>
      </c>
      <c r="U115" s="1541">
        <v>19</v>
      </c>
      <c r="V115" s="1485">
        <v>20</v>
      </c>
      <c r="W115" s="1541">
        <v>21</v>
      </c>
      <c r="X115" s="1485">
        <v>22</v>
      </c>
      <c r="Y115" s="1541">
        <v>23</v>
      </c>
      <c r="Z115" s="1485">
        <v>24</v>
      </c>
      <c r="AA115" s="1541">
        <v>25</v>
      </c>
      <c r="AB115" s="1485">
        <v>26</v>
      </c>
      <c r="AC115" s="1541">
        <v>27</v>
      </c>
      <c r="AD115" s="1485">
        <v>28</v>
      </c>
      <c r="AE115" s="1541">
        <v>29</v>
      </c>
      <c r="AF115" s="1485">
        <v>30</v>
      </c>
      <c r="AG115" s="1541">
        <v>31</v>
      </c>
      <c r="AH115" s="1485">
        <v>32</v>
      </c>
      <c r="AI115" s="1541">
        <v>33</v>
      </c>
      <c r="AJ115" s="1485">
        <v>34</v>
      </c>
      <c r="AK115" s="1541">
        <v>35</v>
      </c>
      <c r="AL115" s="1485">
        <v>36</v>
      </c>
      <c r="AM115" s="1541">
        <v>37</v>
      </c>
      <c r="AN115" s="1484">
        <v>38</v>
      </c>
      <c r="AO115" s="1542">
        <v>39</v>
      </c>
      <c r="AP115" s="1543">
        <v>40</v>
      </c>
      <c r="AQ115" s="1544">
        <v>41</v>
      </c>
      <c r="AR115" s="1543">
        <v>42</v>
      </c>
    </row>
    <row r="116" spans="1:44" ht="30" customHeight="1">
      <c r="A116" s="1394">
        <v>1</v>
      </c>
      <c r="B116" s="17" t="s">
        <v>12</v>
      </c>
      <c r="C116" s="18">
        <v>467.2</v>
      </c>
      <c r="D116" s="18">
        <v>79.3</v>
      </c>
      <c r="E116" s="18">
        <v>26</v>
      </c>
      <c r="F116" s="18">
        <v>14.6</v>
      </c>
      <c r="G116" s="18">
        <v>297.10000000000002</v>
      </c>
      <c r="H116" s="18">
        <v>56.8</v>
      </c>
      <c r="I116" s="18">
        <v>69</v>
      </c>
      <c r="J116" s="18">
        <v>42</v>
      </c>
      <c r="K116" s="18">
        <v>1666.9</v>
      </c>
      <c r="L116" s="18">
        <v>195.8</v>
      </c>
      <c r="M116" s="18">
        <v>117</v>
      </c>
      <c r="N116" s="18">
        <v>81.75</v>
      </c>
      <c r="O116" s="18">
        <v>18</v>
      </c>
      <c r="P116" s="18">
        <v>3.6</v>
      </c>
      <c r="Q116" s="18">
        <v>1193</v>
      </c>
      <c r="R116" s="18">
        <v>175.08</v>
      </c>
      <c r="S116" s="18">
        <v>345.15</v>
      </c>
      <c r="T116" s="18">
        <v>24.6</v>
      </c>
      <c r="U116" s="18">
        <v>34</v>
      </c>
      <c r="V116" s="18">
        <v>10.5</v>
      </c>
      <c r="W116" s="18">
        <v>0</v>
      </c>
      <c r="X116" s="18">
        <v>0</v>
      </c>
      <c r="Y116" s="18">
        <v>34</v>
      </c>
      <c r="Z116" s="18">
        <v>29.5</v>
      </c>
      <c r="AA116" s="18">
        <v>35</v>
      </c>
      <c r="AB116" s="18">
        <v>33</v>
      </c>
      <c r="AC116" s="18">
        <v>3</v>
      </c>
      <c r="AD116" s="18">
        <v>4.5</v>
      </c>
      <c r="AE116" s="18">
        <v>0</v>
      </c>
      <c r="AF116" s="18">
        <v>0</v>
      </c>
      <c r="AG116" s="18">
        <v>583.1</v>
      </c>
      <c r="AH116" s="18">
        <v>37.75</v>
      </c>
      <c r="AI116" s="18">
        <v>162.16</v>
      </c>
      <c r="AJ116" s="18">
        <v>85.62</v>
      </c>
      <c r="AK116" s="18">
        <v>788.24</v>
      </c>
      <c r="AL116" s="18">
        <v>59.8</v>
      </c>
      <c r="AM116" s="18">
        <v>179</v>
      </c>
      <c r="AN116" s="1527">
        <v>71.666666666666657</v>
      </c>
      <c r="AO116" s="1537">
        <f>SUMIF($C$70:$AN$70,AO$70,$C116:$AN116)</f>
        <v>6017.8499999999995</v>
      </c>
      <c r="AP116" s="1538">
        <f>SUMIF($C$70:$AN$70,AP$70,$C116:$AN116)</f>
        <v>1005.8666666666667</v>
      </c>
      <c r="AQ116" s="1531">
        <v>0</v>
      </c>
      <c r="AR116" s="1499">
        <v>0</v>
      </c>
    </row>
    <row r="117" spans="1:44" ht="30" customHeight="1">
      <c r="A117" s="1394"/>
      <c r="B117" s="20" t="s">
        <v>9</v>
      </c>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1528"/>
      <c r="AO117" s="1509"/>
      <c r="AP117" s="22"/>
      <c r="AQ117" s="1532"/>
      <c r="AR117" s="37"/>
    </row>
    <row r="118" spans="1:44" ht="24.95" customHeight="1">
      <c r="A118" s="1394"/>
      <c r="B118" s="23" t="s">
        <v>89</v>
      </c>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1528"/>
      <c r="AO118" s="1509"/>
      <c r="AP118" s="22"/>
      <c r="AQ118" s="1532"/>
      <c r="AR118" s="37"/>
    </row>
    <row r="119" spans="1:44" ht="21.95" customHeight="1">
      <c r="A119" s="1546">
        <v>2</v>
      </c>
      <c r="B119" s="24" t="s">
        <v>90</v>
      </c>
      <c r="C119" s="26">
        <v>0</v>
      </c>
      <c r="D119" s="26">
        <v>0</v>
      </c>
      <c r="E119" s="26">
        <v>0</v>
      </c>
      <c r="F119" s="26">
        <v>0</v>
      </c>
      <c r="G119" s="26">
        <v>0</v>
      </c>
      <c r="H119" s="26">
        <v>0</v>
      </c>
      <c r="I119" s="26">
        <v>0</v>
      </c>
      <c r="J119" s="26">
        <v>0</v>
      </c>
      <c r="K119" s="26">
        <v>0</v>
      </c>
      <c r="L119" s="26">
        <v>0</v>
      </c>
      <c r="M119" s="26">
        <v>4</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c r="AD119" s="26">
        <v>0</v>
      </c>
      <c r="AE119" s="26">
        <v>0</v>
      </c>
      <c r="AF119" s="26">
        <v>0</v>
      </c>
      <c r="AG119" s="26">
        <v>0</v>
      </c>
      <c r="AH119" s="26">
        <v>0</v>
      </c>
      <c r="AI119" s="26">
        <v>0</v>
      </c>
      <c r="AJ119" s="26">
        <v>0</v>
      </c>
      <c r="AK119" s="26">
        <v>0</v>
      </c>
      <c r="AL119" s="26">
        <v>0</v>
      </c>
      <c r="AM119" s="26">
        <v>110</v>
      </c>
      <c r="AN119" s="1477">
        <v>0</v>
      </c>
      <c r="AO119" s="580">
        <f>SUMIF($C$70:$AN$70,AO$70,$C119:$AN119)</f>
        <v>114</v>
      </c>
      <c r="AP119" s="29">
        <f>SUMIF($C$70:$AN$70,AP$70,$C119:$AN119)</f>
        <v>0</v>
      </c>
      <c r="AQ119" s="1503">
        <v>0</v>
      </c>
      <c r="AR119" s="28">
        <v>0</v>
      </c>
    </row>
    <row r="120" spans="1:44" ht="24.95" customHeight="1">
      <c r="A120" s="1546">
        <v>3</v>
      </c>
      <c r="B120" s="23" t="s">
        <v>91</v>
      </c>
      <c r="C120" s="26">
        <v>431.3</v>
      </c>
      <c r="D120" s="26">
        <v>55.9</v>
      </c>
      <c r="E120" s="26">
        <v>99</v>
      </c>
      <c r="F120" s="26">
        <v>83.3</v>
      </c>
      <c r="G120" s="26">
        <v>445</v>
      </c>
      <c r="H120" s="26">
        <v>455.6</v>
      </c>
      <c r="I120" s="26">
        <v>512</v>
      </c>
      <c r="J120" s="26">
        <v>210.6</v>
      </c>
      <c r="K120" s="26">
        <v>966</v>
      </c>
      <c r="L120" s="26">
        <v>208.6</v>
      </c>
      <c r="M120" s="26">
        <v>335</v>
      </c>
      <c r="N120" s="26">
        <v>120.17</v>
      </c>
      <c r="O120" s="26">
        <v>95</v>
      </c>
      <c r="P120" s="26">
        <v>0</v>
      </c>
      <c r="Q120" s="26">
        <v>870.33399999999995</v>
      </c>
      <c r="R120" s="26">
        <v>257.82400000000001</v>
      </c>
      <c r="S120" s="26">
        <v>518.45000000000005</v>
      </c>
      <c r="T120" s="26">
        <v>72.180000000000007</v>
      </c>
      <c r="U120" s="26">
        <v>17</v>
      </c>
      <c r="V120" s="26">
        <v>84.4</v>
      </c>
      <c r="W120" s="26">
        <v>0</v>
      </c>
      <c r="X120" s="26">
        <v>158.9</v>
      </c>
      <c r="Y120" s="26">
        <v>156</v>
      </c>
      <c r="Z120" s="26">
        <v>167.33</v>
      </c>
      <c r="AA120" s="26">
        <v>165</v>
      </c>
      <c r="AB120" s="26">
        <v>165.15</v>
      </c>
      <c r="AC120" s="26">
        <v>54</v>
      </c>
      <c r="AD120" s="26">
        <v>0</v>
      </c>
      <c r="AE120" s="26">
        <v>0</v>
      </c>
      <c r="AF120" s="26">
        <v>6</v>
      </c>
      <c r="AG120" s="26">
        <v>290.5</v>
      </c>
      <c r="AH120" s="26">
        <v>72.34</v>
      </c>
      <c r="AI120" s="26">
        <v>281.43</v>
      </c>
      <c r="AJ120" s="26">
        <v>174.36</v>
      </c>
      <c r="AK120" s="26">
        <v>377.55</v>
      </c>
      <c r="AL120" s="26">
        <v>83.4</v>
      </c>
      <c r="AM120" s="26">
        <v>199</v>
      </c>
      <c r="AN120" s="1477">
        <v>194.75</v>
      </c>
      <c r="AO120" s="580">
        <f>SUMIF($C$70:$AN$70,AO$70,$C120:$AN120)</f>
        <v>5812.5640000000003</v>
      </c>
      <c r="AP120" s="29">
        <f>SUMIF($C$70:$AN$70,AP$70,$C120:$AN120)</f>
        <v>2570.8040000000005</v>
      </c>
      <c r="AQ120" s="1503">
        <v>0</v>
      </c>
      <c r="AR120" s="28">
        <v>121.08</v>
      </c>
    </row>
    <row r="121" spans="1:44" ht="30" customHeight="1">
      <c r="A121" s="1394"/>
      <c r="B121" s="23" t="s">
        <v>2</v>
      </c>
      <c r="C121" s="27">
        <f t="shared" ref="C121:AN121" si="139">SUM(C119:C120)</f>
        <v>431.3</v>
      </c>
      <c r="D121" s="27">
        <f t="shared" si="139"/>
        <v>55.9</v>
      </c>
      <c r="E121" s="27">
        <f t="shared" si="139"/>
        <v>99</v>
      </c>
      <c r="F121" s="27">
        <f t="shared" si="139"/>
        <v>83.3</v>
      </c>
      <c r="G121" s="27">
        <f t="shared" si="139"/>
        <v>445</v>
      </c>
      <c r="H121" s="27">
        <f t="shared" si="139"/>
        <v>455.6</v>
      </c>
      <c r="I121" s="27">
        <f t="shared" si="139"/>
        <v>512</v>
      </c>
      <c r="J121" s="27">
        <f t="shared" si="139"/>
        <v>210.6</v>
      </c>
      <c r="K121" s="27">
        <f t="shared" si="139"/>
        <v>966</v>
      </c>
      <c r="L121" s="27">
        <f t="shared" si="139"/>
        <v>208.6</v>
      </c>
      <c r="M121" s="27">
        <f t="shared" si="139"/>
        <v>339</v>
      </c>
      <c r="N121" s="27">
        <f t="shared" si="139"/>
        <v>120.17</v>
      </c>
      <c r="O121" s="27">
        <f t="shared" si="139"/>
        <v>95</v>
      </c>
      <c r="P121" s="27">
        <f t="shared" si="139"/>
        <v>0</v>
      </c>
      <c r="Q121" s="27">
        <f t="shared" si="139"/>
        <v>870.33399999999995</v>
      </c>
      <c r="R121" s="27">
        <f t="shared" si="139"/>
        <v>257.82400000000001</v>
      </c>
      <c r="S121" s="27">
        <f t="shared" si="139"/>
        <v>518.45000000000005</v>
      </c>
      <c r="T121" s="27">
        <f t="shared" si="139"/>
        <v>72.180000000000007</v>
      </c>
      <c r="U121" s="27">
        <f t="shared" si="139"/>
        <v>17</v>
      </c>
      <c r="V121" s="27">
        <f t="shared" si="139"/>
        <v>84.4</v>
      </c>
      <c r="W121" s="27">
        <f t="shared" si="139"/>
        <v>0</v>
      </c>
      <c r="X121" s="27">
        <f t="shared" si="139"/>
        <v>158.9</v>
      </c>
      <c r="Y121" s="27">
        <f t="shared" si="139"/>
        <v>156</v>
      </c>
      <c r="Z121" s="27">
        <f t="shared" si="139"/>
        <v>167.33</v>
      </c>
      <c r="AA121" s="27">
        <f t="shared" si="139"/>
        <v>165</v>
      </c>
      <c r="AB121" s="27">
        <f t="shared" si="139"/>
        <v>165.15</v>
      </c>
      <c r="AC121" s="27">
        <f t="shared" si="139"/>
        <v>54</v>
      </c>
      <c r="AD121" s="27">
        <f t="shared" si="139"/>
        <v>0</v>
      </c>
      <c r="AE121" s="27">
        <f t="shared" si="139"/>
        <v>0</v>
      </c>
      <c r="AF121" s="27">
        <f t="shared" si="139"/>
        <v>6</v>
      </c>
      <c r="AG121" s="27">
        <f t="shared" si="139"/>
        <v>290.5</v>
      </c>
      <c r="AH121" s="27">
        <f t="shared" si="139"/>
        <v>72.34</v>
      </c>
      <c r="AI121" s="27">
        <f t="shared" si="139"/>
        <v>281.43</v>
      </c>
      <c r="AJ121" s="27">
        <f t="shared" si="139"/>
        <v>174.36</v>
      </c>
      <c r="AK121" s="27">
        <f t="shared" si="139"/>
        <v>377.55</v>
      </c>
      <c r="AL121" s="27">
        <f t="shared" si="139"/>
        <v>83.4</v>
      </c>
      <c r="AM121" s="27">
        <f t="shared" si="139"/>
        <v>309</v>
      </c>
      <c r="AN121" s="1494">
        <f t="shared" si="139"/>
        <v>194.75</v>
      </c>
      <c r="AO121" s="580">
        <f t="shared" ref="AO121:AP121" si="140">SUM(AO119:AO120)</f>
        <v>5926.5640000000003</v>
      </c>
      <c r="AP121" s="29">
        <f t="shared" si="140"/>
        <v>2570.8040000000005</v>
      </c>
      <c r="AQ121" s="1533">
        <f>SUM(AQ119:AQ120)</f>
        <v>0</v>
      </c>
      <c r="AR121" s="29">
        <f>SUM(AR119:AR120)</f>
        <v>121.08</v>
      </c>
    </row>
    <row r="122" spans="1:44" ht="30" customHeight="1">
      <c r="A122" s="1394"/>
      <c r="B122" s="20" t="s">
        <v>10</v>
      </c>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1528"/>
      <c r="AO122" s="1509"/>
      <c r="AP122" s="22"/>
      <c r="AQ122" s="1532"/>
      <c r="AR122" s="37"/>
    </row>
    <row r="123" spans="1:44" ht="24.95" customHeight="1">
      <c r="A123" s="1394"/>
      <c r="B123" s="23" t="s">
        <v>89</v>
      </c>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1528"/>
      <c r="AO123" s="1509"/>
      <c r="AP123" s="22"/>
      <c r="AQ123" s="1532"/>
      <c r="AR123" s="37"/>
    </row>
    <row r="124" spans="1:44" ht="21.95" customHeight="1">
      <c r="A124" s="1546">
        <v>4</v>
      </c>
      <c r="B124" s="24" t="s">
        <v>92</v>
      </c>
      <c r="C124" s="26">
        <v>122.7</v>
      </c>
      <c r="D124" s="26">
        <v>16.5</v>
      </c>
      <c r="E124" s="26">
        <v>0</v>
      </c>
      <c r="F124" s="26">
        <v>0</v>
      </c>
      <c r="G124" s="26">
        <v>127</v>
      </c>
      <c r="H124" s="26">
        <v>0</v>
      </c>
      <c r="I124" s="26">
        <v>0</v>
      </c>
      <c r="J124" s="26">
        <v>0</v>
      </c>
      <c r="K124" s="26">
        <v>115</v>
      </c>
      <c r="L124" s="26">
        <v>0</v>
      </c>
      <c r="M124" s="26">
        <v>0</v>
      </c>
      <c r="N124" s="26">
        <v>0</v>
      </c>
      <c r="O124" s="26">
        <v>0</v>
      </c>
      <c r="P124" s="26">
        <v>0</v>
      </c>
      <c r="Q124" s="26">
        <v>166</v>
      </c>
      <c r="R124" s="26">
        <v>0.5</v>
      </c>
      <c r="S124" s="26">
        <v>0</v>
      </c>
      <c r="T124" s="26">
        <v>0</v>
      </c>
      <c r="U124" s="26">
        <v>20</v>
      </c>
      <c r="V124" s="26">
        <v>0</v>
      </c>
      <c r="W124" s="26">
        <v>0</v>
      </c>
      <c r="X124" s="26">
        <v>0</v>
      </c>
      <c r="Y124" s="26">
        <v>0</v>
      </c>
      <c r="Z124" s="26">
        <v>0</v>
      </c>
      <c r="AA124" s="26">
        <v>0</v>
      </c>
      <c r="AB124" s="26">
        <v>0</v>
      </c>
      <c r="AC124" s="26">
        <v>0</v>
      </c>
      <c r="AD124" s="26">
        <v>0</v>
      </c>
      <c r="AE124" s="26">
        <v>0</v>
      </c>
      <c r="AF124" s="26">
        <v>0</v>
      </c>
      <c r="AG124" s="26">
        <v>0</v>
      </c>
      <c r="AH124" s="26">
        <v>0</v>
      </c>
      <c r="AI124" s="26">
        <v>0</v>
      </c>
      <c r="AJ124" s="26">
        <v>0</v>
      </c>
      <c r="AK124" s="26">
        <v>281</v>
      </c>
      <c r="AL124" s="26">
        <v>0.2</v>
      </c>
      <c r="AM124" s="26">
        <v>80</v>
      </c>
      <c r="AN124" s="1477">
        <v>1.833333333333333</v>
      </c>
      <c r="AO124" s="580">
        <f t="shared" ref="AO124:AP126" si="141">SUMIF($C$70:$AN$70,AO$70,$C124:$AN124)</f>
        <v>911.7</v>
      </c>
      <c r="AP124" s="29">
        <f t="shared" si="141"/>
        <v>19.033333333333331</v>
      </c>
      <c r="AQ124" s="1503">
        <v>0</v>
      </c>
      <c r="AR124" s="28">
        <v>0</v>
      </c>
    </row>
    <row r="125" spans="1:44" ht="21.95" customHeight="1">
      <c r="A125" s="1546">
        <v>5</v>
      </c>
      <c r="B125" s="24" t="s">
        <v>93</v>
      </c>
      <c r="C125" s="26">
        <v>97.9</v>
      </c>
      <c r="D125" s="26">
        <v>0.6</v>
      </c>
      <c r="E125" s="26">
        <v>0</v>
      </c>
      <c r="F125" s="26">
        <v>0</v>
      </c>
      <c r="G125" s="26">
        <v>28</v>
      </c>
      <c r="H125" s="26">
        <v>0</v>
      </c>
      <c r="I125" s="26">
        <v>0</v>
      </c>
      <c r="J125" s="26">
        <v>0</v>
      </c>
      <c r="K125" s="26">
        <v>164</v>
      </c>
      <c r="L125" s="26">
        <v>0</v>
      </c>
      <c r="M125" s="26">
        <v>0</v>
      </c>
      <c r="N125" s="26">
        <v>0</v>
      </c>
      <c r="O125" s="26">
        <v>0</v>
      </c>
      <c r="P125" s="26">
        <v>0</v>
      </c>
      <c r="Q125" s="26">
        <v>145</v>
      </c>
      <c r="R125" s="26">
        <v>3</v>
      </c>
      <c r="S125" s="26">
        <v>0</v>
      </c>
      <c r="T125" s="26">
        <v>0</v>
      </c>
      <c r="U125" s="26">
        <v>0</v>
      </c>
      <c r="V125" s="26">
        <v>0</v>
      </c>
      <c r="W125" s="26">
        <v>8</v>
      </c>
      <c r="X125" s="26">
        <v>0</v>
      </c>
      <c r="Y125" s="26">
        <v>0</v>
      </c>
      <c r="Z125" s="26">
        <v>0</v>
      </c>
      <c r="AA125" s="26">
        <v>0</v>
      </c>
      <c r="AB125" s="26">
        <v>0</v>
      </c>
      <c r="AC125" s="26">
        <v>0</v>
      </c>
      <c r="AD125" s="26">
        <v>0</v>
      </c>
      <c r="AE125" s="26">
        <v>0</v>
      </c>
      <c r="AF125" s="26">
        <v>0</v>
      </c>
      <c r="AG125" s="26">
        <v>0</v>
      </c>
      <c r="AH125" s="26">
        <v>0</v>
      </c>
      <c r="AI125" s="26">
        <v>0</v>
      </c>
      <c r="AJ125" s="26">
        <v>0</v>
      </c>
      <c r="AK125" s="26">
        <v>369</v>
      </c>
      <c r="AL125" s="26">
        <v>7.43</v>
      </c>
      <c r="AM125" s="26">
        <v>56</v>
      </c>
      <c r="AN125" s="1477">
        <v>0</v>
      </c>
      <c r="AO125" s="580">
        <f t="shared" si="141"/>
        <v>867.9</v>
      </c>
      <c r="AP125" s="29">
        <f t="shared" si="141"/>
        <v>11.03</v>
      </c>
      <c r="AQ125" s="1503">
        <v>6</v>
      </c>
      <c r="AR125" s="28">
        <v>0</v>
      </c>
    </row>
    <row r="126" spans="1:44" ht="24.95" customHeight="1">
      <c r="A126" s="1546">
        <v>6</v>
      </c>
      <c r="B126" s="23" t="s">
        <v>91</v>
      </c>
      <c r="C126" s="26">
        <v>1</v>
      </c>
      <c r="D126" s="26">
        <v>92.9</v>
      </c>
      <c r="E126" s="26">
        <v>0</v>
      </c>
      <c r="F126" s="26">
        <v>0</v>
      </c>
      <c r="G126" s="26">
        <v>83</v>
      </c>
      <c r="H126" s="26">
        <v>97.5</v>
      </c>
      <c r="I126" s="26">
        <v>0</v>
      </c>
      <c r="J126" s="26">
        <v>0</v>
      </c>
      <c r="K126" s="26">
        <v>83</v>
      </c>
      <c r="L126" s="26">
        <v>68.5</v>
      </c>
      <c r="M126" s="26">
        <v>0</v>
      </c>
      <c r="N126" s="26">
        <v>0</v>
      </c>
      <c r="O126" s="26">
        <v>72</v>
      </c>
      <c r="P126" s="26">
        <v>8.6999999999999993</v>
      </c>
      <c r="Q126" s="26">
        <v>42.665999999999997</v>
      </c>
      <c r="R126" s="26">
        <v>271.66699699999998</v>
      </c>
      <c r="S126" s="26">
        <v>0</v>
      </c>
      <c r="T126" s="26">
        <v>0</v>
      </c>
      <c r="U126" s="26">
        <v>0</v>
      </c>
      <c r="V126" s="26">
        <v>0</v>
      </c>
      <c r="W126" s="26">
        <v>0</v>
      </c>
      <c r="X126" s="26">
        <v>0</v>
      </c>
      <c r="Y126" s="26">
        <v>0</v>
      </c>
      <c r="Z126" s="26">
        <v>0</v>
      </c>
      <c r="AA126" s="26">
        <v>34</v>
      </c>
      <c r="AB126" s="26">
        <v>0</v>
      </c>
      <c r="AC126" s="26">
        <v>0</v>
      </c>
      <c r="AD126" s="26">
        <v>0</v>
      </c>
      <c r="AE126" s="26">
        <v>0</v>
      </c>
      <c r="AF126" s="26">
        <v>0</v>
      </c>
      <c r="AG126" s="26">
        <v>0</v>
      </c>
      <c r="AH126" s="26">
        <v>0</v>
      </c>
      <c r="AI126" s="26">
        <v>12.5</v>
      </c>
      <c r="AJ126" s="26">
        <v>16.12</v>
      </c>
      <c r="AK126" s="26">
        <v>69.930000000000007</v>
      </c>
      <c r="AL126" s="26">
        <v>80.38</v>
      </c>
      <c r="AM126" s="26">
        <v>0</v>
      </c>
      <c r="AN126" s="1477">
        <v>35.666666666666671</v>
      </c>
      <c r="AO126" s="580">
        <f t="shared" si="141"/>
        <v>398.096</v>
      </c>
      <c r="AP126" s="29">
        <f t="shared" si="141"/>
        <v>671.43366366666658</v>
      </c>
      <c r="AQ126" s="1503">
        <v>0</v>
      </c>
      <c r="AR126" s="28">
        <v>0</v>
      </c>
    </row>
    <row r="127" spans="1:44" ht="30" customHeight="1">
      <c r="A127" s="1394"/>
      <c r="B127" s="23" t="s">
        <v>2</v>
      </c>
      <c r="C127" s="27">
        <f t="shared" ref="C127:E127" si="142">SUM(C124:C126)</f>
        <v>221.60000000000002</v>
      </c>
      <c r="D127" s="27">
        <f t="shared" ref="D127:G127" si="143">SUM(D124:D126)</f>
        <v>110</v>
      </c>
      <c r="E127" s="27">
        <f t="shared" si="142"/>
        <v>0</v>
      </c>
      <c r="F127" s="27">
        <f t="shared" si="143"/>
        <v>0</v>
      </c>
      <c r="G127" s="27">
        <f t="shared" si="143"/>
        <v>238</v>
      </c>
      <c r="H127" s="27">
        <f t="shared" ref="H127:U127" si="144">SUM(H124:H126)</f>
        <v>97.5</v>
      </c>
      <c r="I127" s="27">
        <f t="shared" si="144"/>
        <v>0</v>
      </c>
      <c r="J127" s="27">
        <f t="shared" si="144"/>
        <v>0</v>
      </c>
      <c r="K127" s="27">
        <f t="shared" si="144"/>
        <v>362</v>
      </c>
      <c r="L127" s="27">
        <f t="shared" si="144"/>
        <v>68.5</v>
      </c>
      <c r="M127" s="27">
        <f t="shared" si="144"/>
        <v>0</v>
      </c>
      <c r="N127" s="27">
        <f t="shared" si="144"/>
        <v>0</v>
      </c>
      <c r="O127" s="27">
        <f t="shared" si="144"/>
        <v>72</v>
      </c>
      <c r="P127" s="27">
        <f t="shared" si="144"/>
        <v>8.6999999999999993</v>
      </c>
      <c r="Q127" s="27">
        <f t="shared" si="144"/>
        <v>353.666</v>
      </c>
      <c r="R127" s="27">
        <f t="shared" si="144"/>
        <v>275.16699699999998</v>
      </c>
      <c r="S127" s="27">
        <f t="shared" si="144"/>
        <v>0</v>
      </c>
      <c r="T127" s="27">
        <f t="shared" si="144"/>
        <v>0</v>
      </c>
      <c r="U127" s="27">
        <f t="shared" si="144"/>
        <v>20</v>
      </c>
      <c r="V127" s="27">
        <f t="shared" ref="V127:AE127" si="145">SUM(V124:V126)</f>
        <v>0</v>
      </c>
      <c r="W127" s="27">
        <f t="shared" si="145"/>
        <v>8</v>
      </c>
      <c r="X127" s="27">
        <f t="shared" si="145"/>
        <v>0</v>
      </c>
      <c r="Y127" s="27">
        <f t="shared" si="145"/>
        <v>0</v>
      </c>
      <c r="Z127" s="27">
        <f t="shared" si="145"/>
        <v>0</v>
      </c>
      <c r="AA127" s="27">
        <f t="shared" si="145"/>
        <v>34</v>
      </c>
      <c r="AB127" s="27">
        <f t="shared" si="145"/>
        <v>0</v>
      </c>
      <c r="AC127" s="27">
        <f t="shared" si="145"/>
        <v>0</v>
      </c>
      <c r="AD127" s="27">
        <f t="shared" si="145"/>
        <v>0</v>
      </c>
      <c r="AE127" s="27">
        <f t="shared" si="145"/>
        <v>0</v>
      </c>
      <c r="AF127" s="27">
        <f t="shared" ref="AF127:AN127" si="146">SUM(AF124:AF126)</f>
        <v>0</v>
      </c>
      <c r="AG127" s="27">
        <f t="shared" si="146"/>
        <v>0</v>
      </c>
      <c r="AH127" s="27">
        <f t="shared" si="146"/>
        <v>0</v>
      </c>
      <c r="AI127" s="27">
        <f t="shared" si="146"/>
        <v>12.5</v>
      </c>
      <c r="AJ127" s="27">
        <f t="shared" si="146"/>
        <v>16.12</v>
      </c>
      <c r="AK127" s="27">
        <f t="shared" si="146"/>
        <v>719.93000000000006</v>
      </c>
      <c r="AL127" s="27">
        <f t="shared" si="146"/>
        <v>88.009999999999991</v>
      </c>
      <c r="AM127" s="27">
        <f t="shared" si="146"/>
        <v>136</v>
      </c>
      <c r="AN127" s="1494">
        <f t="shared" si="146"/>
        <v>37.500000000000007</v>
      </c>
      <c r="AO127" s="580">
        <f t="shared" ref="AO127:AR127" si="147">SUM(AO124:AO126)</f>
        <v>2177.6959999999999</v>
      </c>
      <c r="AP127" s="29">
        <f t="shared" si="147"/>
        <v>701.49699699999996</v>
      </c>
      <c r="AQ127" s="1533">
        <f t="shared" si="147"/>
        <v>6</v>
      </c>
      <c r="AR127" s="29">
        <f t="shared" si="147"/>
        <v>0</v>
      </c>
    </row>
    <row r="128" spans="1:44" ht="30" customHeight="1">
      <c r="A128" s="1394"/>
      <c r="B128" s="20" t="s">
        <v>11</v>
      </c>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1528"/>
      <c r="AO128" s="1509"/>
      <c r="AP128" s="22"/>
      <c r="AQ128" s="1532"/>
      <c r="AR128" s="37"/>
    </row>
    <row r="129" spans="1:44" ht="24.95" customHeight="1">
      <c r="A129" s="1394"/>
      <c r="B129" s="23" t="s">
        <v>89</v>
      </c>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1528"/>
      <c r="AO129" s="1509"/>
      <c r="AP129" s="22"/>
      <c r="AQ129" s="1532"/>
      <c r="AR129" s="37"/>
    </row>
    <row r="130" spans="1:44" ht="24.95" customHeight="1">
      <c r="A130" s="1394"/>
      <c r="B130" s="24" t="s">
        <v>95</v>
      </c>
      <c r="C130" s="1486"/>
      <c r="D130" s="1486"/>
      <c r="E130" s="1486"/>
      <c r="F130" s="1486"/>
      <c r="G130" s="1486"/>
      <c r="H130" s="1486"/>
      <c r="I130" s="1486"/>
      <c r="J130" s="1486"/>
      <c r="K130" s="1486"/>
      <c r="L130" s="1486"/>
      <c r="M130" s="1486"/>
      <c r="N130" s="1486"/>
      <c r="O130" s="1486"/>
      <c r="P130" s="1486"/>
      <c r="Q130" s="1486"/>
      <c r="R130" s="1486"/>
      <c r="S130" s="1486"/>
      <c r="T130" s="1486"/>
      <c r="U130" s="1486"/>
      <c r="V130" s="1486"/>
      <c r="W130" s="1486"/>
      <c r="X130" s="1486"/>
      <c r="Y130" s="1486"/>
      <c r="Z130" s="1486"/>
      <c r="AA130" s="1486"/>
      <c r="AB130" s="1486"/>
      <c r="AC130" s="1486"/>
      <c r="AD130" s="1486"/>
      <c r="AE130" s="1486"/>
      <c r="AF130" s="1486"/>
      <c r="AG130" s="1486"/>
      <c r="AH130" s="1486"/>
      <c r="AI130" s="1486"/>
      <c r="AJ130" s="1486"/>
      <c r="AK130" s="1486"/>
      <c r="AL130" s="1486"/>
      <c r="AM130" s="1486"/>
      <c r="AN130" s="1529"/>
      <c r="AO130" s="1385"/>
      <c r="AP130" s="1397"/>
      <c r="AQ130" s="1501"/>
      <c r="AR130" s="1526"/>
    </row>
    <row r="131" spans="1:44" ht="21.95" customHeight="1">
      <c r="A131" s="1546">
        <v>7</v>
      </c>
      <c r="B131" s="30" t="s">
        <v>33</v>
      </c>
      <c r="C131" s="26">
        <v>515</v>
      </c>
      <c r="D131" s="26">
        <v>1</v>
      </c>
      <c r="E131" s="26">
        <v>0</v>
      </c>
      <c r="F131" s="26">
        <v>0</v>
      </c>
      <c r="G131" s="26">
        <v>457</v>
      </c>
      <c r="H131" s="26">
        <v>0</v>
      </c>
      <c r="I131" s="26">
        <v>0</v>
      </c>
      <c r="J131" s="26">
        <v>0</v>
      </c>
      <c r="K131" s="26">
        <v>659.5</v>
      </c>
      <c r="L131" s="26">
        <v>0</v>
      </c>
      <c r="M131" s="26">
        <v>0</v>
      </c>
      <c r="N131" s="26">
        <v>0</v>
      </c>
      <c r="O131" s="26">
        <v>0</v>
      </c>
      <c r="P131" s="26">
        <v>0</v>
      </c>
      <c r="Q131" s="26">
        <v>748</v>
      </c>
      <c r="R131" s="26">
        <v>0</v>
      </c>
      <c r="S131" s="26">
        <v>0</v>
      </c>
      <c r="T131" s="26">
        <v>0</v>
      </c>
      <c r="U131" s="26">
        <v>0</v>
      </c>
      <c r="V131" s="26">
        <v>0</v>
      </c>
      <c r="W131" s="26">
        <v>0</v>
      </c>
      <c r="X131" s="26">
        <v>0</v>
      </c>
      <c r="Y131" s="26">
        <v>0</v>
      </c>
      <c r="Z131" s="26">
        <v>0</v>
      </c>
      <c r="AA131" s="26">
        <v>0</v>
      </c>
      <c r="AB131" s="26">
        <v>0</v>
      </c>
      <c r="AC131" s="26">
        <v>0</v>
      </c>
      <c r="AD131" s="26">
        <v>0</v>
      </c>
      <c r="AE131" s="26">
        <v>0</v>
      </c>
      <c r="AF131" s="26">
        <v>0</v>
      </c>
      <c r="AG131" s="26">
        <v>0</v>
      </c>
      <c r="AH131" s="26">
        <v>0</v>
      </c>
      <c r="AI131" s="26">
        <v>0</v>
      </c>
      <c r="AJ131" s="26">
        <v>0</v>
      </c>
      <c r="AK131" s="26">
        <v>0</v>
      </c>
      <c r="AL131" s="26">
        <v>0</v>
      </c>
      <c r="AM131" s="26">
        <v>0</v>
      </c>
      <c r="AN131" s="1477">
        <v>0</v>
      </c>
      <c r="AO131" s="580">
        <f t="shared" ref="AO131:AP134" si="148">SUMIF($C$70:$AN$70,AO$70,$C131:$AN131)</f>
        <v>2379.5</v>
      </c>
      <c r="AP131" s="29">
        <f t="shared" si="148"/>
        <v>1</v>
      </c>
      <c r="AQ131" s="1503">
        <v>0</v>
      </c>
      <c r="AR131" s="28">
        <v>0</v>
      </c>
    </row>
    <row r="132" spans="1:44" ht="21.95" customHeight="1">
      <c r="A132" s="1546">
        <v>8</v>
      </c>
      <c r="B132" s="30" t="s">
        <v>34</v>
      </c>
      <c r="C132" s="26">
        <v>66.599999999999994</v>
      </c>
      <c r="D132" s="26">
        <v>0</v>
      </c>
      <c r="E132" s="26">
        <v>0</v>
      </c>
      <c r="F132" s="26">
        <v>0</v>
      </c>
      <c r="G132" s="26">
        <v>258</v>
      </c>
      <c r="H132" s="26">
        <v>0</v>
      </c>
      <c r="I132" s="26">
        <v>0</v>
      </c>
      <c r="J132" s="26">
        <v>0</v>
      </c>
      <c r="K132" s="26">
        <v>0</v>
      </c>
      <c r="L132" s="26">
        <v>0</v>
      </c>
      <c r="M132" s="26">
        <v>0</v>
      </c>
      <c r="N132" s="26">
        <v>0</v>
      </c>
      <c r="O132" s="26">
        <v>0</v>
      </c>
      <c r="P132" s="26">
        <v>0</v>
      </c>
      <c r="Q132" s="26">
        <v>330</v>
      </c>
      <c r="R132" s="26">
        <v>0</v>
      </c>
      <c r="S132" s="26">
        <v>0</v>
      </c>
      <c r="T132" s="26">
        <v>0</v>
      </c>
      <c r="U132" s="26">
        <v>0</v>
      </c>
      <c r="V132" s="26">
        <v>0</v>
      </c>
      <c r="W132" s="26">
        <v>0</v>
      </c>
      <c r="X132" s="26">
        <v>0</v>
      </c>
      <c r="Y132" s="26">
        <v>0</v>
      </c>
      <c r="Z132" s="26">
        <v>0</v>
      </c>
      <c r="AA132" s="26">
        <v>0</v>
      </c>
      <c r="AB132" s="26">
        <v>0</v>
      </c>
      <c r="AC132" s="26">
        <v>0</v>
      </c>
      <c r="AD132" s="26">
        <v>0</v>
      </c>
      <c r="AE132" s="26">
        <v>0</v>
      </c>
      <c r="AF132" s="26">
        <v>0</v>
      </c>
      <c r="AG132" s="26">
        <v>0</v>
      </c>
      <c r="AH132" s="26">
        <v>0</v>
      </c>
      <c r="AI132" s="26">
        <v>0</v>
      </c>
      <c r="AJ132" s="26">
        <v>0</v>
      </c>
      <c r="AK132" s="26">
        <v>0</v>
      </c>
      <c r="AL132" s="26">
        <v>0</v>
      </c>
      <c r="AM132" s="26">
        <v>0</v>
      </c>
      <c r="AN132" s="1477">
        <v>0</v>
      </c>
      <c r="AO132" s="580">
        <f t="shared" si="148"/>
        <v>654.6</v>
      </c>
      <c r="AP132" s="29">
        <f t="shared" si="148"/>
        <v>0</v>
      </c>
      <c r="AQ132" s="1503">
        <v>0</v>
      </c>
      <c r="AR132" s="28">
        <v>0</v>
      </c>
    </row>
    <row r="133" spans="1:44" ht="21.95" customHeight="1">
      <c r="A133" s="1546">
        <v>9</v>
      </c>
      <c r="B133" s="30" t="s">
        <v>5</v>
      </c>
      <c r="C133" s="26">
        <v>229.4</v>
      </c>
      <c r="D133" s="26">
        <v>0</v>
      </c>
      <c r="E133" s="26">
        <v>0</v>
      </c>
      <c r="F133" s="26">
        <v>0</v>
      </c>
      <c r="G133" s="26">
        <v>223.5</v>
      </c>
      <c r="H133" s="26">
        <v>0</v>
      </c>
      <c r="I133" s="26">
        <v>0</v>
      </c>
      <c r="J133" s="26">
        <v>0</v>
      </c>
      <c r="K133" s="26">
        <v>218</v>
      </c>
      <c r="L133" s="26">
        <v>0</v>
      </c>
      <c r="M133" s="26">
        <v>0</v>
      </c>
      <c r="N133" s="26">
        <v>0</v>
      </c>
      <c r="O133" s="26">
        <v>0</v>
      </c>
      <c r="P133" s="26">
        <v>0</v>
      </c>
      <c r="Q133" s="26">
        <v>323</v>
      </c>
      <c r="R133" s="26">
        <v>0</v>
      </c>
      <c r="S133" s="26">
        <v>0</v>
      </c>
      <c r="T133" s="26">
        <v>0</v>
      </c>
      <c r="U133" s="26">
        <v>0</v>
      </c>
      <c r="V133" s="26">
        <v>0</v>
      </c>
      <c r="W133" s="26">
        <v>0</v>
      </c>
      <c r="X133" s="26">
        <v>0</v>
      </c>
      <c r="Y133" s="26">
        <v>0</v>
      </c>
      <c r="Z133" s="26">
        <v>0</v>
      </c>
      <c r="AA133" s="26">
        <v>0</v>
      </c>
      <c r="AB133" s="26">
        <v>0</v>
      </c>
      <c r="AC133" s="26">
        <v>0</v>
      </c>
      <c r="AD133" s="26">
        <v>0</v>
      </c>
      <c r="AE133" s="26">
        <v>0</v>
      </c>
      <c r="AF133" s="26">
        <v>0</v>
      </c>
      <c r="AG133" s="26">
        <v>249.5</v>
      </c>
      <c r="AH133" s="26">
        <v>0</v>
      </c>
      <c r="AI133" s="26">
        <v>0</v>
      </c>
      <c r="AJ133" s="26">
        <v>0</v>
      </c>
      <c r="AK133" s="26">
        <v>0</v>
      </c>
      <c r="AL133" s="26">
        <v>0</v>
      </c>
      <c r="AM133" s="26">
        <v>0</v>
      </c>
      <c r="AN133" s="1477">
        <v>0</v>
      </c>
      <c r="AO133" s="580">
        <f t="shared" si="148"/>
        <v>1243.4000000000001</v>
      </c>
      <c r="AP133" s="29">
        <f t="shared" si="148"/>
        <v>0</v>
      </c>
      <c r="AQ133" s="1503">
        <v>0</v>
      </c>
      <c r="AR133" s="28">
        <v>0</v>
      </c>
    </row>
    <row r="134" spans="1:44" ht="21.95" customHeight="1">
      <c r="A134" s="1546">
        <v>10</v>
      </c>
      <c r="B134" s="30" t="s">
        <v>6</v>
      </c>
      <c r="C134" s="26">
        <v>0</v>
      </c>
      <c r="D134" s="26">
        <v>0</v>
      </c>
      <c r="E134" s="26">
        <v>0</v>
      </c>
      <c r="F134" s="26">
        <v>0</v>
      </c>
      <c r="G134" s="26">
        <v>40</v>
      </c>
      <c r="H134" s="26">
        <v>0</v>
      </c>
      <c r="I134" s="26">
        <v>0</v>
      </c>
      <c r="J134" s="26">
        <v>0</v>
      </c>
      <c r="K134" s="26">
        <v>0</v>
      </c>
      <c r="L134" s="26">
        <v>0</v>
      </c>
      <c r="M134" s="26">
        <v>0</v>
      </c>
      <c r="N134" s="26">
        <v>0</v>
      </c>
      <c r="O134" s="26">
        <v>0</v>
      </c>
      <c r="P134" s="26">
        <v>0</v>
      </c>
      <c r="Q134" s="26">
        <v>65</v>
      </c>
      <c r="R134" s="26">
        <v>0</v>
      </c>
      <c r="S134" s="26">
        <v>0</v>
      </c>
      <c r="T134" s="26">
        <v>0</v>
      </c>
      <c r="U134" s="26">
        <v>0</v>
      </c>
      <c r="V134" s="26">
        <v>0</v>
      </c>
      <c r="W134" s="26">
        <v>0</v>
      </c>
      <c r="X134" s="26">
        <v>0</v>
      </c>
      <c r="Y134" s="26">
        <v>0</v>
      </c>
      <c r="Z134" s="26">
        <v>0</v>
      </c>
      <c r="AA134" s="26">
        <v>0</v>
      </c>
      <c r="AB134" s="26">
        <v>0</v>
      </c>
      <c r="AC134" s="26">
        <v>0</v>
      </c>
      <c r="AD134" s="26">
        <v>0</v>
      </c>
      <c r="AE134" s="26">
        <v>0</v>
      </c>
      <c r="AF134" s="26">
        <v>0</v>
      </c>
      <c r="AG134" s="26">
        <v>0</v>
      </c>
      <c r="AH134" s="26">
        <v>0</v>
      </c>
      <c r="AI134" s="26">
        <v>0</v>
      </c>
      <c r="AJ134" s="26">
        <v>0</v>
      </c>
      <c r="AK134" s="26">
        <v>0</v>
      </c>
      <c r="AL134" s="26">
        <v>0</v>
      </c>
      <c r="AM134" s="26">
        <v>0</v>
      </c>
      <c r="AN134" s="1477">
        <v>0</v>
      </c>
      <c r="AO134" s="580">
        <f t="shared" si="148"/>
        <v>105</v>
      </c>
      <c r="AP134" s="29">
        <f t="shared" si="148"/>
        <v>0</v>
      </c>
      <c r="AQ134" s="1503">
        <v>0</v>
      </c>
      <c r="AR134" s="28">
        <v>0</v>
      </c>
    </row>
    <row r="135" spans="1:44" ht="24.95" customHeight="1">
      <c r="A135" s="1394"/>
      <c r="B135" s="24" t="s">
        <v>7</v>
      </c>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1528"/>
      <c r="AO135" s="1510"/>
      <c r="AP135" s="22"/>
      <c r="AQ135" s="1532"/>
      <c r="AR135" s="37"/>
    </row>
    <row r="136" spans="1:44" ht="21.95" customHeight="1">
      <c r="A136" s="1546">
        <v>11</v>
      </c>
      <c r="B136" s="30" t="s">
        <v>99</v>
      </c>
      <c r="C136" s="26">
        <v>435</v>
      </c>
      <c r="D136" s="26">
        <v>0.4</v>
      </c>
      <c r="E136" s="26">
        <v>0</v>
      </c>
      <c r="F136" s="26">
        <v>0</v>
      </c>
      <c r="G136" s="26">
        <v>247</v>
      </c>
      <c r="H136" s="26">
        <v>12.65</v>
      </c>
      <c r="I136" s="26">
        <v>0</v>
      </c>
      <c r="J136" s="26">
        <v>0</v>
      </c>
      <c r="K136" s="26">
        <v>454.7</v>
      </c>
      <c r="L136" s="26">
        <v>0.5</v>
      </c>
      <c r="M136" s="26">
        <v>0</v>
      </c>
      <c r="N136" s="26">
        <v>0</v>
      </c>
      <c r="O136" s="26">
        <v>0</v>
      </c>
      <c r="P136" s="26">
        <v>0</v>
      </c>
      <c r="Q136" s="26">
        <v>585.08399999999995</v>
      </c>
      <c r="R136" s="26">
        <v>14.05</v>
      </c>
      <c r="S136" s="26">
        <v>0</v>
      </c>
      <c r="T136" s="26">
        <v>0</v>
      </c>
      <c r="U136" s="26">
        <v>0</v>
      </c>
      <c r="V136" s="26">
        <v>0</v>
      </c>
      <c r="W136" s="26">
        <v>0</v>
      </c>
      <c r="X136" s="26">
        <v>0</v>
      </c>
      <c r="Y136" s="26">
        <v>0</v>
      </c>
      <c r="Z136" s="26">
        <v>0</v>
      </c>
      <c r="AA136" s="26">
        <v>0</v>
      </c>
      <c r="AB136" s="26">
        <v>0</v>
      </c>
      <c r="AC136" s="26">
        <v>0</v>
      </c>
      <c r="AD136" s="26">
        <v>0</v>
      </c>
      <c r="AE136" s="26">
        <v>0</v>
      </c>
      <c r="AF136" s="26">
        <v>0</v>
      </c>
      <c r="AG136" s="26">
        <v>0</v>
      </c>
      <c r="AH136" s="26">
        <v>0</v>
      </c>
      <c r="AI136" s="26">
        <v>144.65</v>
      </c>
      <c r="AJ136" s="26">
        <v>1.42</v>
      </c>
      <c r="AK136" s="26">
        <v>526</v>
      </c>
      <c r="AL136" s="26">
        <v>1.5</v>
      </c>
      <c r="AM136" s="26">
        <v>271</v>
      </c>
      <c r="AN136" s="1477">
        <v>0.83333333333333326</v>
      </c>
      <c r="AO136" s="580">
        <f t="shared" ref="AO136:AP140" si="149">SUMIF($C$70:$AN$70,AO$70,$C136:$AN136)</f>
        <v>2663.4340000000002</v>
      </c>
      <c r="AP136" s="29">
        <f t="shared" si="149"/>
        <v>31.353333333333335</v>
      </c>
      <c r="AQ136" s="1503">
        <v>0</v>
      </c>
      <c r="AR136" s="28">
        <v>0</v>
      </c>
    </row>
    <row r="137" spans="1:44" ht="21.95" customHeight="1">
      <c r="A137" s="1546">
        <v>12</v>
      </c>
      <c r="B137" s="30" t="s">
        <v>21</v>
      </c>
      <c r="C137" s="26">
        <v>53.7</v>
      </c>
      <c r="D137" s="26">
        <v>0</v>
      </c>
      <c r="E137" s="26">
        <v>0</v>
      </c>
      <c r="F137" s="26">
        <v>0</v>
      </c>
      <c r="G137" s="26">
        <v>0</v>
      </c>
      <c r="H137" s="26">
        <v>0</v>
      </c>
      <c r="I137" s="26">
        <v>0</v>
      </c>
      <c r="J137" s="26">
        <v>0</v>
      </c>
      <c r="K137" s="26">
        <v>0</v>
      </c>
      <c r="L137" s="26">
        <v>0</v>
      </c>
      <c r="M137" s="26">
        <v>0</v>
      </c>
      <c r="N137" s="26">
        <v>0</v>
      </c>
      <c r="O137" s="26">
        <v>0</v>
      </c>
      <c r="P137" s="26">
        <v>0</v>
      </c>
      <c r="Q137" s="26">
        <v>0</v>
      </c>
      <c r="R137" s="26">
        <v>0</v>
      </c>
      <c r="S137" s="26">
        <v>0</v>
      </c>
      <c r="T137" s="26">
        <v>0</v>
      </c>
      <c r="U137" s="26">
        <v>0</v>
      </c>
      <c r="V137" s="26">
        <v>0</v>
      </c>
      <c r="W137" s="26">
        <v>0</v>
      </c>
      <c r="X137" s="26">
        <v>0</v>
      </c>
      <c r="Y137" s="26">
        <v>0</v>
      </c>
      <c r="Z137" s="26">
        <v>0</v>
      </c>
      <c r="AA137" s="26">
        <v>0</v>
      </c>
      <c r="AB137" s="26">
        <v>0</v>
      </c>
      <c r="AC137" s="26">
        <v>85</v>
      </c>
      <c r="AD137" s="26">
        <v>0</v>
      </c>
      <c r="AE137" s="26">
        <v>0</v>
      </c>
      <c r="AF137" s="26">
        <v>0</v>
      </c>
      <c r="AG137" s="26">
        <v>0</v>
      </c>
      <c r="AH137" s="26">
        <v>0</v>
      </c>
      <c r="AI137" s="26">
        <v>0</v>
      </c>
      <c r="AJ137" s="26">
        <v>0</v>
      </c>
      <c r="AK137" s="26">
        <v>0</v>
      </c>
      <c r="AL137" s="26">
        <v>0</v>
      </c>
      <c r="AM137" s="26">
        <v>0</v>
      </c>
      <c r="AN137" s="1477">
        <v>0</v>
      </c>
      <c r="AO137" s="580">
        <f t="shared" si="149"/>
        <v>138.69999999999999</v>
      </c>
      <c r="AP137" s="29">
        <f t="shared" si="149"/>
        <v>0</v>
      </c>
      <c r="AQ137" s="1503">
        <v>0</v>
      </c>
      <c r="AR137" s="28">
        <v>0</v>
      </c>
    </row>
    <row r="138" spans="1:44" ht="21.95" customHeight="1">
      <c r="A138" s="1546">
        <v>13</v>
      </c>
      <c r="B138" s="30" t="s">
        <v>22</v>
      </c>
      <c r="C138" s="26">
        <v>0</v>
      </c>
      <c r="D138" s="26">
        <v>0</v>
      </c>
      <c r="E138" s="26">
        <v>0</v>
      </c>
      <c r="F138" s="26">
        <v>0</v>
      </c>
      <c r="G138" s="26">
        <v>0</v>
      </c>
      <c r="H138" s="26">
        <v>0</v>
      </c>
      <c r="I138" s="26">
        <v>0</v>
      </c>
      <c r="J138" s="26">
        <v>0</v>
      </c>
      <c r="K138" s="26">
        <v>370</v>
      </c>
      <c r="L138" s="26">
        <v>1.3</v>
      </c>
      <c r="M138" s="26">
        <v>0</v>
      </c>
      <c r="N138" s="26">
        <v>0</v>
      </c>
      <c r="O138" s="26">
        <v>0</v>
      </c>
      <c r="P138" s="26">
        <v>0</v>
      </c>
      <c r="Q138" s="26">
        <v>0</v>
      </c>
      <c r="R138" s="26">
        <v>0</v>
      </c>
      <c r="S138" s="26">
        <v>0</v>
      </c>
      <c r="T138" s="26">
        <v>0</v>
      </c>
      <c r="U138" s="26">
        <v>0</v>
      </c>
      <c r="V138" s="26">
        <v>0</v>
      </c>
      <c r="W138" s="26">
        <v>0</v>
      </c>
      <c r="X138" s="26">
        <v>0</v>
      </c>
      <c r="Y138" s="26">
        <v>0</v>
      </c>
      <c r="Z138" s="26">
        <v>0</v>
      </c>
      <c r="AA138" s="26">
        <v>0</v>
      </c>
      <c r="AB138" s="26">
        <v>0</v>
      </c>
      <c r="AC138" s="26">
        <v>0</v>
      </c>
      <c r="AD138" s="26">
        <v>0</v>
      </c>
      <c r="AE138" s="26">
        <v>0</v>
      </c>
      <c r="AF138" s="26">
        <v>0</v>
      </c>
      <c r="AG138" s="26">
        <v>0</v>
      </c>
      <c r="AH138" s="26">
        <v>0</v>
      </c>
      <c r="AI138" s="26">
        <v>0</v>
      </c>
      <c r="AJ138" s="26">
        <v>0</v>
      </c>
      <c r="AK138" s="26">
        <v>0</v>
      </c>
      <c r="AL138" s="26">
        <v>0</v>
      </c>
      <c r="AM138" s="26">
        <v>0</v>
      </c>
      <c r="AN138" s="1477">
        <v>0</v>
      </c>
      <c r="AO138" s="580">
        <f t="shared" si="149"/>
        <v>370</v>
      </c>
      <c r="AP138" s="29">
        <f t="shared" si="149"/>
        <v>1.3</v>
      </c>
      <c r="AQ138" s="1503">
        <v>0</v>
      </c>
      <c r="AR138" s="28">
        <v>0</v>
      </c>
    </row>
    <row r="139" spans="1:44" ht="21.95" customHeight="1">
      <c r="A139" s="1546">
        <v>14</v>
      </c>
      <c r="B139" s="30" t="s">
        <v>23</v>
      </c>
      <c r="C139" s="26">
        <v>0</v>
      </c>
      <c r="D139" s="26">
        <v>0</v>
      </c>
      <c r="E139" s="26">
        <v>0</v>
      </c>
      <c r="F139" s="26">
        <v>0</v>
      </c>
      <c r="G139" s="26">
        <v>0</v>
      </c>
      <c r="H139" s="26">
        <v>0</v>
      </c>
      <c r="I139" s="26">
        <v>0</v>
      </c>
      <c r="J139" s="26">
        <v>0</v>
      </c>
      <c r="K139" s="26">
        <v>0</v>
      </c>
      <c r="L139" s="26">
        <v>0</v>
      </c>
      <c r="M139" s="26">
        <v>0</v>
      </c>
      <c r="N139" s="26">
        <v>0</v>
      </c>
      <c r="O139" s="26">
        <v>0</v>
      </c>
      <c r="P139" s="26">
        <v>0</v>
      </c>
      <c r="Q139" s="26">
        <v>107</v>
      </c>
      <c r="R139" s="26">
        <v>1.6</v>
      </c>
      <c r="S139" s="26">
        <v>0</v>
      </c>
      <c r="T139" s="26">
        <v>0</v>
      </c>
      <c r="U139" s="26">
        <v>0</v>
      </c>
      <c r="V139" s="26">
        <v>0</v>
      </c>
      <c r="W139" s="26">
        <v>0</v>
      </c>
      <c r="X139" s="26">
        <v>0</v>
      </c>
      <c r="Y139" s="26">
        <v>0</v>
      </c>
      <c r="Z139" s="26">
        <v>0</v>
      </c>
      <c r="AA139" s="26">
        <v>0</v>
      </c>
      <c r="AB139" s="26">
        <v>0</v>
      </c>
      <c r="AC139" s="26">
        <v>0</v>
      </c>
      <c r="AD139" s="26">
        <v>0</v>
      </c>
      <c r="AE139" s="26">
        <v>0</v>
      </c>
      <c r="AF139" s="26">
        <v>0</v>
      </c>
      <c r="AG139" s="26">
        <v>0</v>
      </c>
      <c r="AH139" s="26">
        <v>0</v>
      </c>
      <c r="AI139" s="26">
        <v>0</v>
      </c>
      <c r="AJ139" s="26">
        <v>0</v>
      </c>
      <c r="AK139" s="26">
        <v>0</v>
      </c>
      <c r="AL139" s="26">
        <v>0</v>
      </c>
      <c r="AM139" s="26">
        <v>0</v>
      </c>
      <c r="AN139" s="1477">
        <v>0</v>
      </c>
      <c r="AO139" s="580">
        <f t="shared" si="149"/>
        <v>107</v>
      </c>
      <c r="AP139" s="29">
        <f t="shared" si="149"/>
        <v>1.6</v>
      </c>
      <c r="AQ139" s="1503">
        <v>0</v>
      </c>
      <c r="AR139" s="28">
        <v>0</v>
      </c>
    </row>
    <row r="140" spans="1:44" ht="24.95" customHeight="1">
      <c r="A140" s="1546">
        <v>15</v>
      </c>
      <c r="B140" s="31" t="s">
        <v>90</v>
      </c>
      <c r="C140" s="32">
        <v>0</v>
      </c>
      <c r="D140" s="32">
        <v>0</v>
      </c>
      <c r="E140" s="32">
        <v>0</v>
      </c>
      <c r="F140" s="32">
        <v>0</v>
      </c>
      <c r="G140" s="32">
        <v>1084</v>
      </c>
      <c r="H140" s="32">
        <v>0</v>
      </c>
      <c r="I140" s="32">
        <v>1501</v>
      </c>
      <c r="J140" s="32">
        <v>3</v>
      </c>
      <c r="K140" s="32">
        <v>0</v>
      </c>
      <c r="L140" s="32">
        <v>0</v>
      </c>
      <c r="M140" s="32">
        <v>1250</v>
      </c>
      <c r="N140" s="32">
        <v>52</v>
      </c>
      <c r="O140" s="32">
        <v>0</v>
      </c>
      <c r="P140" s="32">
        <v>0</v>
      </c>
      <c r="Q140" s="32">
        <v>0</v>
      </c>
      <c r="R140" s="32">
        <v>0</v>
      </c>
      <c r="S140" s="32">
        <v>0</v>
      </c>
      <c r="T140" s="32">
        <v>0</v>
      </c>
      <c r="U140" s="32">
        <v>0</v>
      </c>
      <c r="V140" s="32">
        <v>0</v>
      </c>
      <c r="W140" s="32">
        <v>0</v>
      </c>
      <c r="X140" s="32">
        <v>0</v>
      </c>
      <c r="Y140" s="32">
        <v>0</v>
      </c>
      <c r="Z140" s="32">
        <v>0</v>
      </c>
      <c r="AA140" s="32">
        <v>707</v>
      </c>
      <c r="AB140" s="32">
        <v>0</v>
      </c>
      <c r="AC140" s="32">
        <v>0</v>
      </c>
      <c r="AD140" s="32">
        <v>0</v>
      </c>
      <c r="AE140" s="32">
        <v>0</v>
      </c>
      <c r="AF140" s="32">
        <v>0</v>
      </c>
      <c r="AG140" s="32">
        <v>0</v>
      </c>
      <c r="AH140" s="32">
        <v>0</v>
      </c>
      <c r="AI140" s="32">
        <v>856.88</v>
      </c>
      <c r="AJ140" s="32">
        <v>24.37</v>
      </c>
      <c r="AK140" s="32">
        <v>0</v>
      </c>
      <c r="AL140" s="32">
        <v>0</v>
      </c>
      <c r="AM140" s="32">
        <v>1833</v>
      </c>
      <c r="AN140" s="1441">
        <v>179.24999999999983</v>
      </c>
      <c r="AO140" s="1539">
        <f t="shared" si="149"/>
        <v>7231.88</v>
      </c>
      <c r="AP140" s="1540">
        <f t="shared" si="149"/>
        <v>258.61999999999983</v>
      </c>
      <c r="AQ140" s="1534">
        <v>0</v>
      </c>
      <c r="AR140" s="33">
        <v>0</v>
      </c>
    </row>
    <row r="141" spans="1:44" ht="24.95" customHeight="1">
      <c r="A141" s="1394"/>
      <c r="B141" s="23" t="s">
        <v>91</v>
      </c>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1528"/>
      <c r="AO141" s="1509"/>
      <c r="AP141" s="22"/>
      <c r="AQ141" s="1532"/>
      <c r="AR141" s="37"/>
    </row>
    <row r="142" spans="1:44" ht="24.95" customHeight="1">
      <c r="A142" s="1546">
        <v>16</v>
      </c>
      <c r="B142" s="24" t="s">
        <v>96</v>
      </c>
      <c r="C142" s="26">
        <v>2746</v>
      </c>
      <c r="D142" s="26">
        <v>90.8</v>
      </c>
      <c r="E142" s="26">
        <v>2044.5</v>
      </c>
      <c r="F142" s="26">
        <v>55.3</v>
      </c>
      <c r="G142" s="26">
        <v>1984.15</v>
      </c>
      <c r="H142" s="26">
        <v>7.22</v>
      </c>
      <c r="I142" s="26">
        <v>2701.7</v>
      </c>
      <c r="J142" s="26">
        <v>134.1</v>
      </c>
      <c r="K142" s="26">
        <v>4160.1000000000004</v>
      </c>
      <c r="L142" s="26">
        <v>78.2</v>
      </c>
      <c r="M142" s="26">
        <v>2505.69</v>
      </c>
      <c r="N142" s="26">
        <v>269.57</v>
      </c>
      <c r="O142" s="26">
        <v>136</v>
      </c>
      <c r="P142" s="26">
        <v>0</v>
      </c>
      <c r="Q142" s="26">
        <v>5206.4210000000103</v>
      </c>
      <c r="R142" s="26">
        <v>31.322099999999999</v>
      </c>
      <c r="S142" s="26">
        <v>3407.8300000000004</v>
      </c>
      <c r="T142" s="26">
        <v>30.51</v>
      </c>
      <c r="U142" s="26">
        <v>1408.64</v>
      </c>
      <c r="V142" s="26">
        <v>246.6</v>
      </c>
      <c r="W142" s="26">
        <v>0</v>
      </c>
      <c r="X142" s="26">
        <v>2324.46</v>
      </c>
      <c r="Y142" s="26">
        <v>375</v>
      </c>
      <c r="Z142" s="26">
        <v>4.57</v>
      </c>
      <c r="AA142" s="26">
        <v>1448.25</v>
      </c>
      <c r="AB142" s="26">
        <v>102.91</v>
      </c>
      <c r="AC142" s="26">
        <v>0</v>
      </c>
      <c r="AD142" s="26">
        <v>0</v>
      </c>
      <c r="AE142" s="26">
        <v>978</v>
      </c>
      <c r="AF142" s="26">
        <v>33.5</v>
      </c>
      <c r="AG142" s="26">
        <v>1438</v>
      </c>
      <c r="AH142" s="26">
        <v>1.08</v>
      </c>
      <c r="AI142" s="26">
        <v>1710.9099999999999</v>
      </c>
      <c r="AJ142" s="26">
        <v>17.5</v>
      </c>
      <c r="AK142" s="26">
        <v>4818.66</v>
      </c>
      <c r="AL142" s="26">
        <v>90.17</v>
      </c>
      <c r="AM142" s="26">
        <v>3025.5</v>
      </c>
      <c r="AN142" s="1477">
        <v>242.91666666666669</v>
      </c>
      <c r="AO142" s="580">
        <f>SUMIF($C$70:$AN$70,AO$70,$C142:$AN142)</f>
        <v>40095.35100000001</v>
      </c>
      <c r="AP142" s="29">
        <f>SUMIF($C$70:$AN$70,AP$70,$C142:$AN142)</f>
        <v>3760.7287666666666</v>
      </c>
      <c r="AQ142" s="1503">
        <v>0</v>
      </c>
      <c r="AR142" s="28">
        <v>1478.35</v>
      </c>
    </row>
    <row r="143" spans="1:44" ht="24.95" customHeight="1">
      <c r="A143" s="1546">
        <v>17</v>
      </c>
      <c r="B143" s="24" t="s">
        <v>94</v>
      </c>
      <c r="C143" s="26">
        <v>4148.3999999999996</v>
      </c>
      <c r="D143" s="26">
        <v>223</v>
      </c>
      <c r="E143" s="26">
        <v>1728.5</v>
      </c>
      <c r="F143" s="26">
        <v>65.8</v>
      </c>
      <c r="G143" s="26">
        <v>3406.88</v>
      </c>
      <c r="H143" s="26">
        <v>326.39999999999998</v>
      </c>
      <c r="I143" s="26">
        <v>3557.7000000000003</v>
      </c>
      <c r="J143" s="26">
        <v>473.8</v>
      </c>
      <c r="K143" s="26">
        <v>6019.3</v>
      </c>
      <c r="L143" s="26">
        <v>273.5</v>
      </c>
      <c r="M143" s="26">
        <v>6463.86</v>
      </c>
      <c r="N143" s="26">
        <v>375.07</v>
      </c>
      <c r="O143" s="26">
        <v>979</v>
      </c>
      <c r="P143" s="26">
        <v>7.5</v>
      </c>
      <c r="Q143" s="26">
        <v>6852.99999999999</v>
      </c>
      <c r="R143" s="26">
        <v>116.8879</v>
      </c>
      <c r="S143" s="26">
        <v>1295.5899999999999</v>
      </c>
      <c r="T143" s="26">
        <v>9.4</v>
      </c>
      <c r="U143" s="26">
        <v>2994.22</v>
      </c>
      <c r="V143" s="26">
        <v>538.51</v>
      </c>
      <c r="W143" s="26">
        <v>0</v>
      </c>
      <c r="X143" s="26">
        <v>3671.21</v>
      </c>
      <c r="Y143" s="26">
        <v>2260</v>
      </c>
      <c r="Z143" s="26">
        <v>87.3</v>
      </c>
      <c r="AA143" s="26">
        <v>4765.5</v>
      </c>
      <c r="AB143" s="26">
        <v>396.77</v>
      </c>
      <c r="AC143" s="26">
        <v>514</v>
      </c>
      <c r="AD143" s="26">
        <v>0</v>
      </c>
      <c r="AE143" s="26">
        <v>313.5</v>
      </c>
      <c r="AF143" s="26">
        <v>21</v>
      </c>
      <c r="AG143" s="26">
        <v>1603</v>
      </c>
      <c r="AH143" s="26">
        <v>57.36</v>
      </c>
      <c r="AI143" s="26">
        <v>3017.6299999999997</v>
      </c>
      <c r="AJ143" s="26">
        <v>71.210000000000008</v>
      </c>
      <c r="AK143" s="26">
        <v>5087.25</v>
      </c>
      <c r="AL143" s="26">
        <v>240.39</v>
      </c>
      <c r="AM143" s="26">
        <v>5019</v>
      </c>
      <c r="AN143" s="1477">
        <v>461.91666666666663</v>
      </c>
      <c r="AO143" s="580">
        <f>SUMIF($C$70:$AN$70,AO$70,$C143:$AN143)</f>
        <v>60026.329999999987</v>
      </c>
      <c r="AP143" s="29">
        <f>SUMIF($C$70:$AN$70,AP$70,$C143:$AN143)</f>
        <v>7417.0245666666669</v>
      </c>
      <c r="AQ143" s="1503">
        <v>0</v>
      </c>
      <c r="AR143" s="28">
        <v>2433.48</v>
      </c>
    </row>
    <row r="144" spans="1:44" ht="30" customHeight="1">
      <c r="A144" s="1385"/>
      <c r="B144" s="23" t="s">
        <v>2</v>
      </c>
      <c r="C144" s="27">
        <f t="shared" ref="C144:E144" si="150">SUM(C131:C143)</f>
        <v>8194.0999999999985</v>
      </c>
      <c r="D144" s="27">
        <f t="shared" ref="D144:G144" si="151">SUM(D131:D143)</f>
        <v>315.2</v>
      </c>
      <c r="E144" s="27">
        <f t="shared" si="150"/>
        <v>3773</v>
      </c>
      <c r="F144" s="27">
        <f t="shared" si="151"/>
        <v>121.1</v>
      </c>
      <c r="G144" s="27">
        <f t="shared" si="151"/>
        <v>7700.53</v>
      </c>
      <c r="H144" s="27">
        <f t="shared" ref="H144:U144" si="152">SUM(H131:H143)</f>
        <v>346.27</v>
      </c>
      <c r="I144" s="27">
        <f t="shared" si="152"/>
        <v>7760.4</v>
      </c>
      <c r="J144" s="27">
        <f t="shared" si="152"/>
        <v>610.9</v>
      </c>
      <c r="K144" s="27">
        <f t="shared" si="152"/>
        <v>11881.6</v>
      </c>
      <c r="L144" s="27">
        <f t="shared" si="152"/>
        <v>353.5</v>
      </c>
      <c r="M144" s="27">
        <f t="shared" si="152"/>
        <v>10219.549999999999</v>
      </c>
      <c r="N144" s="27">
        <f t="shared" si="152"/>
        <v>696.64</v>
      </c>
      <c r="O144" s="27">
        <f t="shared" si="152"/>
        <v>1115</v>
      </c>
      <c r="P144" s="27">
        <f t="shared" si="152"/>
        <v>7.5</v>
      </c>
      <c r="Q144" s="27">
        <f t="shared" si="152"/>
        <v>14217.505000000001</v>
      </c>
      <c r="R144" s="27">
        <f t="shared" si="152"/>
        <v>163.86</v>
      </c>
      <c r="S144" s="27">
        <f t="shared" si="152"/>
        <v>4703.42</v>
      </c>
      <c r="T144" s="27">
        <f t="shared" si="152"/>
        <v>39.910000000000004</v>
      </c>
      <c r="U144" s="27">
        <f t="shared" si="152"/>
        <v>4402.8599999999997</v>
      </c>
      <c r="V144" s="27">
        <f t="shared" ref="V144:AE144" si="153">SUM(V131:V143)</f>
        <v>785.11</v>
      </c>
      <c r="W144" s="27">
        <f t="shared" si="153"/>
        <v>0</v>
      </c>
      <c r="X144" s="27">
        <f t="shared" si="153"/>
        <v>5995.67</v>
      </c>
      <c r="Y144" s="27">
        <f t="shared" si="153"/>
        <v>2635</v>
      </c>
      <c r="Z144" s="27">
        <f t="shared" si="153"/>
        <v>91.87</v>
      </c>
      <c r="AA144" s="27">
        <f t="shared" si="153"/>
        <v>6920.75</v>
      </c>
      <c r="AB144" s="27">
        <f t="shared" si="153"/>
        <v>499.67999999999995</v>
      </c>
      <c r="AC144" s="27">
        <f t="shared" si="153"/>
        <v>599</v>
      </c>
      <c r="AD144" s="27">
        <f t="shared" si="153"/>
        <v>0</v>
      </c>
      <c r="AE144" s="27">
        <f t="shared" si="153"/>
        <v>1291.5</v>
      </c>
      <c r="AF144" s="27">
        <f t="shared" ref="AF144:AN144" si="154">SUM(AF131:AF143)</f>
        <v>54.5</v>
      </c>
      <c r="AG144" s="27">
        <f t="shared" si="154"/>
        <v>3290.5</v>
      </c>
      <c r="AH144" s="27">
        <f t="shared" si="154"/>
        <v>58.44</v>
      </c>
      <c r="AI144" s="27">
        <f t="shared" si="154"/>
        <v>5730.07</v>
      </c>
      <c r="AJ144" s="27">
        <f t="shared" si="154"/>
        <v>114.5</v>
      </c>
      <c r="AK144" s="27">
        <f t="shared" si="154"/>
        <v>10431.91</v>
      </c>
      <c r="AL144" s="27">
        <f t="shared" si="154"/>
        <v>332.06</v>
      </c>
      <c r="AM144" s="27">
        <f t="shared" si="154"/>
        <v>10148.5</v>
      </c>
      <c r="AN144" s="1494">
        <f t="shared" si="154"/>
        <v>884.91666666666652</v>
      </c>
      <c r="AO144" s="580">
        <f t="shared" ref="AO144:AR144" si="155">SUM(AO131:AO143)</f>
        <v>115015.19499999999</v>
      </c>
      <c r="AP144" s="29">
        <f t="shared" si="155"/>
        <v>11471.626666666667</v>
      </c>
      <c r="AQ144" s="1533">
        <f t="shared" si="155"/>
        <v>0</v>
      </c>
      <c r="AR144" s="29">
        <f t="shared" si="155"/>
        <v>3911.83</v>
      </c>
    </row>
    <row r="145" spans="1:44" ht="30" customHeight="1" thickBot="1">
      <c r="A145" s="1398">
        <v>18</v>
      </c>
      <c r="B145" s="1399" t="s">
        <v>97</v>
      </c>
      <c r="C145" s="34">
        <f t="shared" ref="C145:AN145" si="156">SUM(C116,C121,C127,C144)</f>
        <v>9314.1999999999989</v>
      </c>
      <c r="D145" s="34">
        <f t="shared" si="156"/>
        <v>560.4</v>
      </c>
      <c r="E145" s="34">
        <f t="shared" si="156"/>
        <v>3898</v>
      </c>
      <c r="F145" s="34">
        <f t="shared" si="156"/>
        <v>219</v>
      </c>
      <c r="G145" s="34">
        <f t="shared" si="156"/>
        <v>8680.6299999999992</v>
      </c>
      <c r="H145" s="34">
        <f t="shared" si="156"/>
        <v>956.17</v>
      </c>
      <c r="I145" s="34">
        <f t="shared" si="156"/>
        <v>8341.4</v>
      </c>
      <c r="J145" s="34">
        <f t="shared" si="156"/>
        <v>863.5</v>
      </c>
      <c r="K145" s="34">
        <f t="shared" si="156"/>
        <v>14876.5</v>
      </c>
      <c r="L145" s="34">
        <f t="shared" si="156"/>
        <v>826.4</v>
      </c>
      <c r="M145" s="34">
        <f t="shared" si="156"/>
        <v>10675.55</v>
      </c>
      <c r="N145" s="34">
        <f t="shared" si="156"/>
        <v>898.56</v>
      </c>
      <c r="O145" s="34">
        <f t="shared" si="156"/>
        <v>1300</v>
      </c>
      <c r="P145" s="34">
        <f t="shared" si="156"/>
        <v>19.799999999999997</v>
      </c>
      <c r="Q145" s="34">
        <f t="shared" si="156"/>
        <v>16634.505000000001</v>
      </c>
      <c r="R145" s="34">
        <f t="shared" si="156"/>
        <v>871.93099700000005</v>
      </c>
      <c r="S145" s="34">
        <f t="shared" si="156"/>
        <v>5567.02</v>
      </c>
      <c r="T145" s="34">
        <f t="shared" si="156"/>
        <v>136.69</v>
      </c>
      <c r="U145" s="34">
        <f t="shared" si="156"/>
        <v>4473.8599999999997</v>
      </c>
      <c r="V145" s="34">
        <f t="shared" si="156"/>
        <v>880.01</v>
      </c>
      <c r="W145" s="34">
        <f t="shared" si="156"/>
        <v>8</v>
      </c>
      <c r="X145" s="34">
        <f t="shared" si="156"/>
        <v>6154.57</v>
      </c>
      <c r="Y145" s="34">
        <f t="shared" si="156"/>
        <v>2825</v>
      </c>
      <c r="Z145" s="34">
        <f t="shared" si="156"/>
        <v>288.70000000000005</v>
      </c>
      <c r="AA145" s="34">
        <f t="shared" si="156"/>
        <v>7154.75</v>
      </c>
      <c r="AB145" s="34">
        <f t="shared" si="156"/>
        <v>697.82999999999993</v>
      </c>
      <c r="AC145" s="34">
        <f t="shared" si="156"/>
        <v>656</v>
      </c>
      <c r="AD145" s="34">
        <f t="shared" si="156"/>
        <v>4.5</v>
      </c>
      <c r="AE145" s="34">
        <f t="shared" si="156"/>
        <v>1291.5</v>
      </c>
      <c r="AF145" s="34">
        <f t="shared" si="156"/>
        <v>60.5</v>
      </c>
      <c r="AG145" s="34">
        <f t="shared" si="156"/>
        <v>4164.1000000000004</v>
      </c>
      <c r="AH145" s="34">
        <f t="shared" si="156"/>
        <v>168.53</v>
      </c>
      <c r="AI145" s="34">
        <f t="shared" si="156"/>
        <v>6186.16</v>
      </c>
      <c r="AJ145" s="34">
        <f t="shared" si="156"/>
        <v>390.6</v>
      </c>
      <c r="AK145" s="34">
        <f t="shared" si="156"/>
        <v>12317.63</v>
      </c>
      <c r="AL145" s="34">
        <f t="shared" si="156"/>
        <v>563.27</v>
      </c>
      <c r="AM145" s="34">
        <f t="shared" si="156"/>
        <v>10772.5</v>
      </c>
      <c r="AN145" s="34">
        <f t="shared" si="156"/>
        <v>1188.833333333333</v>
      </c>
      <c r="AO145" s="581">
        <f t="shared" ref="AO145:AP145" si="157">SUM(AO116,AO121,AO127,AO144)</f>
        <v>129137.30499999999</v>
      </c>
      <c r="AP145" s="35">
        <f t="shared" si="157"/>
        <v>15749.794330333334</v>
      </c>
      <c r="AQ145" s="1535">
        <f>SUM(AQ116,AQ121,AQ127,AQ144)</f>
        <v>6</v>
      </c>
      <c r="AR145" s="35">
        <f>SUM(AR116,AR121,AR127,AR144)</f>
        <v>4032.91</v>
      </c>
    </row>
    <row r="146" spans="1:44" ht="24.95" customHeight="1">
      <c r="A146" s="1400" t="s">
        <v>107</v>
      </c>
      <c r="B146" s="1404"/>
      <c r="C146" s="1478">
        <v>9314.1999999999989</v>
      </c>
      <c r="D146" s="1478">
        <v>560.4</v>
      </c>
      <c r="E146" s="1478">
        <v>3898</v>
      </c>
      <c r="F146" s="1478">
        <v>219</v>
      </c>
      <c r="G146" s="1478">
        <v>8680.6299999999992</v>
      </c>
      <c r="H146" s="1478">
        <v>956.17</v>
      </c>
      <c r="I146" s="1478">
        <v>8341.4</v>
      </c>
      <c r="J146" s="1478">
        <v>863.5</v>
      </c>
      <c r="K146" s="1478">
        <v>14876.5</v>
      </c>
      <c r="L146" s="1478">
        <v>826.4</v>
      </c>
      <c r="M146" s="1478">
        <v>10675.55</v>
      </c>
      <c r="N146" s="1478">
        <v>898.56</v>
      </c>
      <c r="O146" s="1478">
        <v>1300</v>
      </c>
      <c r="P146" s="1478">
        <v>19.799999999999997</v>
      </c>
      <c r="Q146" s="1478">
        <v>16634.505000000001</v>
      </c>
      <c r="R146" s="1478">
        <v>871.93099700000005</v>
      </c>
      <c r="S146" s="1478">
        <v>5567.02</v>
      </c>
      <c r="T146" s="1478">
        <v>136.69</v>
      </c>
      <c r="U146" s="1478">
        <v>4473.8599999999997</v>
      </c>
      <c r="V146" s="1478">
        <v>880.01</v>
      </c>
      <c r="W146" s="1478">
        <v>8</v>
      </c>
      <c r="X146" s="1478">
        <v>6154.57</v>
      </c>
      <c r="Y146" s="1478">
        <v>2825</v>
      </c>
      <c r="Z146" s="1478">
        <v>288.70000000000005</v>
      </c>
      <c r="AA146" s="1478">
        <v>7154.75</v>
      </c>
      <c r="AB146" s="1478">
        <v>697.82999999999993</v>
      </c>
      <c r="AC146" s="1478">
        <v>656</v>
      </c>
      <c r="AD146" s="1478">
        <v>4.5</v>
      </c>
      <c r="AE146" s="1478">
        <v>1291.5</v>
      </c>
      <c r="AF146" s="1478">
        <v>60.5</v>
      </c>
      <c r="AG146" s="1478">
        <v>4164.1000000000004</v>
      </c>
      <c r="AH146" s="1478">
        <v>168.53</v>
      </c>
      <c r="AI146" s="1478">
        <v>6186.16</v>
      </c>
      <c r="AJ146" s="1478">
        <v>390.6</v>
      </c>
      <c r="AK146" s="1478">
        <v>12317.63</v>
      </c>
      <c r="AL146" s="1478">
        <v>563.27</v>
      </c>
      <c r="AM146" s="1478">
        <v>10772.5</v>
      </c>
      <c r="AN146" s="1478">
        <v>1188.833333333333</v>
      </c>
      <c r="AO146" s="1478">
        <v>129137.30500000001</v>
      </c>
      <c r="AP146" s="1478">
        <v>15749.794330333334</v>
      </c>
      <c r="AQ146" s="1478">
        <v>6</v>
      </c>
      <c r="AR146" s="1478">
        <v>4032.91</v>
      </c>
    </row>
    <row r="147" spans="1:44">
      <c r="C147" s="1545"/>
      <c r="D147" s="1545"/>
    </row>
  </sheetData>
  <sheetProtection password="E23E" sheet="1" objects="1" scenarios="1"/>
  <mergeCells count="56">
    <mergeCell ref="A11:A12"/>
    <mergeCell ref="M69:N69"/>
    <mergeCell ref="O69:P69"/>
    <mergeCell ref="Q69:R69"/>
    <mergeCell ref="S69:T69"/>
    <mergeCell ref="C69:D69"/>
    <mergeCell ref="E69:F69"/>
    <mergeCell ref="G69:H69"/>
    <mergeCell ref="I69:J69"/>
    <mergeCell ref="K69:L69"/>
    <mergeCell ref="C40:N40"/>
    <mergeCell ref="C68:AR68"/>
    <mergeCell ref="C112:D112"/>
    <mergeCell ref="E112:F112"/>
    <mergeCell ref="G112:H112"/>
    <mergeCell ref="I112:J112"/>
    <mergeCell ref="K112:L112"/>
    <mergeCell ref="AO112:AP112"/>
    <mergeCell ref="AQ112:AR112"/>
    <mergeCell ref="AG112:AH112"/>
    <mergeCell ref="AI112:AJ112"/>
    <mergeCell ref="AK112:AL112"/>
    <mergeCell ref="AM112:AN112"/>
    <mergeCell ref="AE112:AF112"/>
    <mergeCell ref="AC112:AD112"/>
    <mergeCell ref="AA112:AB112"/>
    <mergeCell ref="Y112:Z112"/>
    <mergeCell ref="W112:X112"/>
    <mergeCell ref="M112:N112"/>
    <mergeCell ref="O112:P112"/>
    <mergeCell ref="Q112:R112"/>
    <mergeCell ref="S112:T112"/>
    <mergeCell ref="U112:V112"/>
    <mergeCell ref="C9:J9"/>
    <mergeCell ref="K9:R9"/>
    <mergeCell ref="AB9:AB10"/>
    <mergeCell ref="AM69:AN69"/>
    <mergeCell ref="U69:V69"/>
    <mergeCell ref="W69:X69"/>
    <mergeCell ref="Y69:Z69"/>
    <mergeCell ref="AA69:AB69"/>
    <mergeCell ref="AI69:AJ69"/>
    <mergeCell ref="AK69:AL69"/>
    <mergeCell ref="AG69:AH69"/>
    <mergeCell ref="S9:AA9"/>
    <mergeCell ref="AS68:BM68"/>
    <mergeCell ref="BB69:BB70"/>
    <mergeCell ref="O40:Q40"/>
    <mergeCell ref="AV9:AZ9"/>
    <mergeCell ref="BA9:BA10"/>
    <mergeCell ref="AO9:AU9"/>
    <mergeCell ref="AC9:AN9"/>
    <mergeCell ref="AO69:AP69"/>
    <mergeCell ref="AQ69:AR69"/>
    <mergeCell ref="AC69:AD69"/>
    <mergeCell ref="AE69:AF69"/>
  </mergeCells>
  <dataValidations count="1">
    <dataValidation allowBlank="1" sqref="A35 B36:B39 C98:AN105 J41:N41 F41 C39:C52 P41:P61 AQ98:AS105 AO103:AP105 O40:O61 D39:H39 AQ116:AR146 T36:V59 C35:C37 H10:J10 B116:B144 AO144:AP146 AO78:AP78 AO121:AP121 AO127:AP127 BM98:BM104 C88:AN96 B73:B103 AQ88:BK96 D38 F38 H38 J38 L38 N38 K39:Q39 BM73:BM86 C116:AN146 D36 E35:Q37 G41:I61 D41:E52 C53:E61 P38 AQ73:BK86 C73:AN86 AO84:AP84 AT98:BK104 BM88:BM96 R61 Q41 R35:R59 BH9:BJ9 T61:W61 W35:W59 S36:S41"/>
  </dataValidations>
  <pageMargins left="0.19685039370078741" right="0.19685039370078741" top="0.39370078740157483" bottom="0.39370078740157483" header="0" footer="0"/>
  <pageSetup paperSize="9" scale="54" orientation="landscape" r:id="rId1"/>
  <colBreaks count="2" manualBreakCount="2">
    <brk id="23" min="68" max="101" man="1"/>
    <brk id="50" min="68" max="10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3"/>
  <sheetViews>
    <sheetView tabSelected="1" topLeftCell="B1" zoomScale="80" zoomScaleNormal="80" workbookViewId="0">
      <selection activeCell="B1" sqref="B1"/>
    </sheetView>
  </sheetViews>
  <sheetFormatPr defaultColWidth="9.140625" defaultRowHeight="15"/>
  <cols>
    <col min="1" max="1" width="2.7109375" style="1406" customWidth="1"/>
    <col min="2" max="2" width="63.7109375" style="1406" customWidth="1"/>
    <col min="3" max="15" width="13.28515625" style="1406" customWidth="1"/>
    <col min="16" max="16" width="5.7109375" style="1407" customWidth="1"/>
    <col min="17" max="19" width="13.28515625" style="1406" customWidth="1"/>
    <col min="20" max="20" width="5.7109375" style="1406" customWidth="1"/>
    <col min="21" max="21" width="16.7109375" style="1406" customWidth="1"/>
    <col min="22" max="22" width="2.7109375" style="1406" customWidth="1"/>
    <col min="23" max="23" width="6.7109375" style="1406" customWidth="1"/>
    <col min="24" max="31" width="13.7109375" style="1406" customWidth="1"/>
    <col min="32" max="33" width="6.7109375" style="1406" customWidth="1"/>
    <col min="34" max="39" width="13.7109375" style="1406" customWidth="1"/>
    <col min="40" max="40" width="6.7109375" style="1406" customWidth="1"/>
    <col min="41" max="41" width="9.140625" style="1406"/>
    <col min="42" max="43" width="14.7109375" style="1406" hidden="1" customWidth="1"/>
    <col min="44" max="16384" width="9.140625" style="1406"/>
  </cols>
  <sheetData>
    <row r="1" spans="1:43" s="1408" customFormat="1" ht="24.95" customHeight="1">
      <c r="A1" s="976"/>
      <c r="B1" s="865" t="s">
        <v>359</v>
      </c>
      <c r="C1" s="981"/>
      <c r="D1" s="982"/>
      <c r="E1" s="981"/>
      <c r="F1" s="983"/>
      <c r="G1" s="983"/>
      <c r="H1" s="983"/>
      <c r="I1" s="983"/>
      <c r="J1" s="983"/>
      <c r="K1" s="983"/>
      <c r="L1" s="983"/>
      <c r="M1" s="983"/>
      <c r="N1" s="983"/>
      <c r="O1" s="983"/>
      <c r="P1" s="984"/>
      <c r="Q1" s="983"/>
      <c r="R1" s="983"/>
      <c r="S1" s="983"/>
      <c r="T1" s="983"/>
      <c r="U1" s="985"/>
      <c r="V1" s="986"/>
      <c r="W1" s="987"/>
      <c r="X1" s="988"/>
      <c r="Y1" s="989"/>
      <c r="Z1" s="989"/>
      <c r="AA1" s="1443"/>
      <c r="AB1" s="988"/>
      <c r="AC1" s="990"/>
      <c r="AD1" s="990"/>
      <c r="AE1" s="1453"/>
      <c r="AF1" s="991"/>
      <c r="AG1" s="992"/>
      <c r="AH1" s="992"/>
      <c r="AI1" s="992"/>
      <c r="AJ1" s="992"/>
      <c r="AK1" s="992"/>
      <c r="AL1" s="992"/>
      <c r="AM1" s="992" t="s">
        <v>61</v>
      </c>
      <c r="AN1" s="993"/>
    </row>
    <row r="2" spans="1:43" s="1408" customFormat="1" ht="15" customHeight="1">
      <c r="A2" s="977"/>
      <c r="B2" s="869"/>
      <c r="C2" s="251"/>
      <c r="D2" s="252"/>
      <c r="E2" s="253"/>
      <c r="F2" s="253"/>
      <c r="G2" s="252"/>
      <c r="H2" s="253"/>
      <c r="I2" s="253"/>
      <c r="J2" s="253"/>
      <c r="K2" s="253"/>
      <c r="L2" s="253"/>
      <c r="M2" s="253"/>
      <c r="N2" s="253"/>
      <c r="O2" s="253"/>
      <c r="P2" s="254"/>
      <c r="Q2" s="253"/>
      <c r="R2" s="253"/>
      <c r="S2" s="253"/>
      <c r="T2" s="253"/>
      <c r="U2" s="255"/>
      <c r="V2" s="994"/>
      <c r="W2" s="256"/>
      <c r="X2" s="257"/>
      <c r="Y2" s="258"/>
      <c r="Z2" s="258"/>
      <c r="AA2" s="258"/>
      <c r="AB2" s="259"/>
      <c r="AC2" s="259"/>
      <c r="AD2" s="259"/>
      <c r="AE2" s="259"/>
      <c r="AF2" s="995"/>
      <c r="AG2" s="260"/>
      <c r="AH2" s="260"/>
      <c r="AI2" s="260"/>
      <c r="AJ2" s="260"/>
      <c r="AK2" s="260"/>
      <c r="AL2" s="260"/>
      <c r="AM2" s="260"/>
      <c r="AN2" s="996"/>
    </row>
    <row r="3" spans="1:43" s="1408" customFormat="1" ht="30" customHeight="1">
      <c r="A3" s="977"/>
      <c r="B3" s="973" t="s">
        <v>0</v>
      </c>
      <c r="C3" s="1695" t="str">
        <f>Background!$D$2</f>
        <v>Glasgow, University of</v>
      </c>
      <c r="D3" s="1696"/>
      <c r="E3" s="1652"/>
      <c r="F3" s="508"/>
      <c r="G3" s="253"/>
      <c r="H3" s="253"/>
      <c r="I3" s="253"/>
      <c r="J3" s="253"/>
      <c r="K3" s="253"/>
      <c r="L3" s="253"/>
      <c r="M3" s="253"/>
      <c r="N3" s="253"/>
      <c r="O3" s="253"/>
      <c r="P3" s="254"/>
      <c r="Q3" s="253"/>
      <c r="R3" s="253"/>
      <c r="S3" s="253"/>
      <c r="T3" s="253"/>
      <c r="U3" s="255"/>
      <c r="V3" s="994"/>
      <c r="W3" s="256"/>
      <c r="X3" s="257"/>
      <c r="Y3" s="257"/>
      <c r="Z3" s="257"/>
      <c r="AA3" s="257"/>
      <c r="AB3" s="257"/>
      <c r="AC3" s="257"/>
      <c r="AD3" s="257"/>
      <c r="AE3" s="257"/>
      <c r="AF3" s="997"/>
      <c r="AG3" s="261"/>
      <c r="AH3" s="261"/>
      <c r="AI3" s="261"/>
      <c r="AJ3" s="261"/>
      <c r="AK3" s="261"/>
      <c r="AL3" s="261"/>
      <c r="AM3" s="261"/>
      <c r="AN3" s="998"/>
    </row>
    <row r="4" spans="1:43" s="1409" customFormat="1" ht="30" customHeight="1">
      <c r="A4" s="978"/>
      <c r="B4" s="974" t="s">
        <v>360</v>
      </c>
      <c r="C4" s="255"/>
      <c r="D4" s="255"/>
      <c r="E4" s="255"/>
      <c r="F4" s="255"/>
      <c r="G4" s="255"/>
      <c r="H4" s="255"/>
      <c r="I4" s="255"/>
      <c r="J4" s="255"/>
      <c r="K4" s="255"/>
      <c r="L4" s="255"/>
      <c r="M4" s="255"/>
      <c r="N4" s="255"/>
      <c r="O4" s="255"/>
      <c r="P4" s="254"/>
      <c r="Q4" s="255"/>
      <c r="R4" s="255"/>
      <c r="S4" s="255"/>
      <c r="T4" s="255"/>
      <c r="U4" s="255"/>
      <c r="V4" s="999"/>
      <c r="W4" s="262"/>
      <c r="X4" s="1677" t="s">
        <v>394</v>
      </c>
      <c r="Y4" s="1677"/>
      <c r="Z4" s="1677"/>
      <c r="AA4" s="1677"/>
      <c r="AB4" s="1677"/>
      <c r="AC4" s="1677"/>
      <c r="AD4" s="1677"/>
      <c r="AE4" s="1677"/>
      <c r="AF4" s="1000"/>
      <c r="AG4" s="263"/>
      <c r="AH4" s="1654" t="s">
        <v>233</v>
      </c>
      <c r="AI4" s="1654"/>
      <c r="AJ4" s="1654"/>
      <c r="AK4" s="1654"/>
      <c r="AL4" s="1654"/>
      <c r="AM4" s="1654"/>
      <c r="AN4" s="1001"/>
    </row>
    <row r="5" spans="1:43" s="1409" customFormat="1" ht="15" customHeight="1" thickBot="1">
      <c r="A5" s="978"/>
      <c r="B5" s="975"/>
      <c r="C5" s="255"/>
      <c r="D5" s="255"/>
      <c r="E5" s="255"/>
      <c r="F5" s="255"/>
      <c r="G5" s="255"/>
      <c r="H5" s="255"/>
      <c r="I5" s="255"/>
      <c r="J5" s="255"/>
      <c r="K5" s="255"/>
      <c r="L5" s="255"/>
      <c r="M5" s="255"/>
      <c r="N5" s="255"/>
      <c r="O5" s="255"/>
      <c r="P5" s="255"/>
      <c r="Q5" s="255"/>
      <c r="R5" s="255"/>
      <c r="S5" s="255"/>
      <c r="T5" s="255"/>
      <c r="U5" s="255"/>
      <c r="V5" s="999"/>
      <c r="W5" s="262"/>
      <c r="X5" s="264"/>
      <c r="Y5" s="264"/>
      <c r="Z5" s="264"/>
      <c r="AA5" s="264"/>
      <c r="AB5" s="265"/>
      <c r="AC5" s="265"/>
      <c r="AD5" s="265"/>
      <c r="AE5" s="265"/>
      <c r="AF5" s="1000"/>
      <c r="AG5" s="263"/>
      <c r="AH5" s="263"/>
      <c r="AI5" s="263"/>
      <c r="AJ5" s="263"/>
      <c r="AK5" s="263"/>
      <c r="AL5" s="263"/>
      <c r="AM5" s="263"/>
      <c r="AN5" s="1001"/>
    </row>
    <row r="6" spans="1:43" s="1409" customFormat="1" ht="35.1" customHeight="1" thickBot="1">
      <c r="A6" s="971"/>
      <c r="B6" s="266"/>
      <c r="C6" s="1655" t="s">
        <v>414</v>
      </c>
      <c r="D6" s="1656"/>
      <c r="E6" s="1656"/>
      <c r="F6" s="1656"/>
      <c r="G6" s="1656"/>
      <c r="H6" s="1656"/>
      <c r="I6" s="1656"/>
      <c r="J6" s="1656"/>
      <c r="K6" s="1656"/>
      <c r="L6" s="1656"/>
      <c r="M6" s="1656"/>
      <c r="N6" s="1656"/>
      <c r="O6" s="1657"/>
      <c r="P6" s="267"/>
      <c r="Q6" s="1663" t="s">
        <v>415</v>
      </c>
      <c r="R6" s="1664"/>
      <c r="S6" s="1665"/>
      <c r="T6" s="255"/>
      <c r="U6" s="1701" t="s">
        <v>416</v>
      </c>
      <c r="V6" s="999"/>
      <c r="W6" s="268"/>
      <c r="X6" s="1699" t="s">
        <v>411</v>
      </c>
      <c r="Y6" s="1700"/>
      <c r="Z6" s="1700"/>
      <c r="AA6" s="1672" t="s">
        <v>412</v>
      </c>
      <c r="AB6" s="1674" t="s">
        <v>230</v>
      </c>
      <c r="AC6" s="1675"/>
      <c r="AD6" s="1675"/>
      <c r="AE6" s="1676"/>
      <c r="AF6" s="1002"/>
      <c r="AG6" s="269"/>
      <c r="AH6" s="1688" t="s">
        <v>413</v>
      </c>
      <c r="AI6" s="1689"/>
      <c r="AJ6" s="1690"/>
      <c r="AK6" s="1688" t="s">
        <v>230</v>
      </c>
      <c r="AL6" s="1689"/>
      <c r="AM6" s="1690"/>
      <c r="AN6" s="1003"/>
      <c r="AP6" s="1653" t="s">
        <v>406</v>
      </c>
      <c r="AQ6" s="1653" t="s">
        <v>407</v>
      </c>
    </row>
    <row r="7" spans="1:43" ht="45" customHeight="1">
      <c r="A7" s="972"/>
      <c r="B7" s="270"/>
      <c r="C7" s="1703" t="s">
        <v>82</v>
      </c>
      <c r="D7" s="1704"/>
      <c r="E7" s="1704"/>
      <c r="F7" s="1704"/>
      <c r="G7" s="1704"/>
      <c r="H7" s="1704"/>
      <c r="I7" s="1705"/>
      <c r="J7" s="1706" t="s">
        <v>83</v>
      </c>
      <c r="K7" s="1670"/>
      <c r="L7" s="1671"/>
      <c r="M7" s="1669" t="s">
        <v>2</v>
      </c>
      <c r="N7" s="1670"/>
      <c r="O7" s="1671"/>
      <c r="P7" s="267"/>
      <c r="Q7" s="1666"/>
      <c r="R7" s="1667"/>
      <c r="S7" s="1668"/>
      <c r="T7" s="271"/>
      <c r="U7" s="1702"/>
      <c r="V7" s="1004"/>
      <c r="W7" s="272"/>
      <c r="X7" s="1697" t="s">
        <v>339</v>
      </c>
      <c r="Y7" s="1698" t="s">
        <v>340</v>
      </c>
      <c r="Z7" s="1449" t="s">
        <v>2</v>
      </c>
      <c r="AA7" s="1673"/>
      <c r="AB7" s="1682" t="s">
        <v>81</v>
      </c>
      <c r="AC7" s="1683"/>
      <c r="AD7" s="1684"/>
      <c r="AE7" s="1685" t="s">
        <v>395</v>
      </c>
      <c r="AF7" s="1005"/>
      <c r="AG7" s="273"/>
      <c r="AH7" s="1691" t="s">
        <v>339</v>
      </c>
      <c r="AI7" s="1693" t="s">
        <v>340</v>
      </c>
      <c r="AJ7" s="274" t="s">
        <v>2</v>
      </c>
      <c r="AK7" s="1691" t="s">
        <v>339</v>
      </c>
      <c r="AL7" s="1693" t="s">
        <v>340</v>
      </c>
      <c r="AM7" s="274" t="s">
        <v>2</v>
      </c>
      <c r="AN7" s="1006"/>
      <c r="AP7" s="1653"/>
      <c r="AQ7" s="1653"/>
    </row>
    <row r="8" spans="1:43" ht="39.950000000000003" customHeight="1">
      <c r="A8" s="972"/>
      <c r="B8" s="275"/>
      <c r="C8" s="1658" t="s">
        <v>84</v>
      </c>
      <c r="D8" s="1659"/>
      <c r="E8" s="1659"/>
      <c r="F8" s="276" t="s">
        <v>1</v>
      </c>
      <c r="G8" s="1660" t="s">
        <v>2</v>
      </c>
      <c r="H8" s="1661"/>
      <c r="I8" s="1662"/>
      <c r="J8" s="1686" t="s">
        <v>84</v>
      </c>
      <c r="K8" s="277" t="s">
        <v>1</v>
      </c>
      <c r="L8" s="278" t="s">
        <v>2</v>
      </c>
      <c r="M8" s="1707" t="s">
        <v>68</v>
      </c>
      <c r="N8" s="279" t="s">
        <v>1</v>
      </c>
      <c r="O8" s="517" t="s">
        <v>2</v>
      </c>
      <c r="P8" s="280"/>
      <c r="Q8" s="1708" t="s">
        <v>68</v>
      </c>
      <c r="R8" s="281" t="s">
        <v>1</v>
      </c>
      <c r="S8" s="282" t="s">
        <v>2</v>
      </c>
      <c r="T8" s="271"/>
      <c r="U8" s="1702"/>
      <c r="V8" s="1004"/>
      <c r="W8" s="268"/>
      <c r="X8" s="1679"/>
      <c r="Y8" s="1681"/>
      <c r="Z8" s="1457"/>
      <c r="AA8" s="1673"/>
      <c r="AB8" s="1678" t="s">
        <v>339</v>
      </c>
      <c r="AC8" s="1680" t="s">
        <v>340</v>
      </c>
      <c r="AD8" s="1449" t="s">
        <v>2</v>
      </c>
      <c r="AE8" s="1673"/>
      <c r="AF8" s="1002"/>
      <c r="AG8" s="269"/>
      <c r="AH8" s="1692"/>
      <c r="AI8" s="1694"/>
      <c r="AJ8" s="283"/>
      <c r="AK8" s="1692"/>
      <c r="AL8" s="1694"/>
      <c r="AM8" s="283"/>
      <c r="AN8" s="1003"/>
      <c r="AP8" s="1653"/>
      <c r="AQ8" s="1653"/>
    </row>
    <row r="9" spans="1:43" ht="90" customHeight="1">
      <c r="A9" s="972"/>
      <c r="B9" s="284" t="s">
        <v>247</v>
      </c>
      <c r="C9" s="285" t="s">
        <v>249</v>
      </c>
      <c r="D9" s="285" t="s">
        <v>85</v>
      </c>
      <c r="E9" s="286" t="s">
        <v>2</v>
      </c>
      <c r="F9" s="285" t="s">
        <v>85</v>
      </c>
      <c r="G9" s="285" t="s">
        <v>249</v>
      </c>
      <c r="H9" s="285" t="s">
        <v>85</v>
      </c>
      <c r="I9" s="287" t="s">
        <v>2</v>
      </c>
      <c r="J9" s="1687"/>
      <c r="K9" s="288"/>
      <c r="L9" s="289"/>
      <c r="M9" s="1707"/>
      <c r="N9" s="290"/>
      <c r="O9" s="291"/>
      <c r="P9" s="271"/>
      <c r="Q9" s="1707"/>
      <c r="R9" s="290"/>
      <c r="S9" s="291"/>
      <c r="T9" s="271"/>
      <c r="U9" s="1702"/>
      <c r="V9" s="1004"/>
      <c r="W9" s="292"/>
      <c r="X9" s="1679"/>
      <c r="Y9" s="1681"/>
      <c r="Z9" s="1457"/>
      <c r="AA9" s="1673"/>
      <c r="AB9" s="1679"/>
      <c r="AC9" s="1681"/>
      <c r="AD9" s="1450"/>
      <c r="AE9" s="1673"/>
      <c r="AF9" s="1007"/>
      <c r="AG9" s="293"/>
      <c r="AH9" s="1692"/>
      <c r="AI9" s="1694"/>
      <c r="AJ9" s="283"/>
      <c r="AK9" s="1692"/>
      <c r="AL9" s="1694"/>
      <c r="AM9" s="283"/>
      <c r="AN9" s="1008"/>
      <c r="AP9" s="1653"/>
      <c r="AQ9" s="1653"/>
    </row>
    <row r="10" spans="1:43" ht="30" customHeight="1">
      <c r="A10" s="972"/>
      <c r="B10" s="295"/>
      <c r="C10" s="296" t="s">
        <v>18</v>
      </c>
      <c r="D10" s="297" t="s">
        <v>18</v>
      </c>
      <c r="E10" s="297" t="s">
        <v>18</v>
      </c>
      <c r="F10" s="298" t="s">
        <v>18</v>
      </c>
      <c r="G10" s="297" t="s">
        <v>18</v>
      </c>
      <c r="H10" s="297" t="s">
        <v>18</v>
      </c>
      <c r="I10" s="299" t="s">
        <v>18</v>
      </c>
      <c r="J10" s="296" t="s">
        <v>18</v>
      </c>
      <c r="K10" s="297" t="s">
        <v>18</v>
      </c>
      <c r="L10" s="299" t="s">
        <v>18</v>
      </c>
      <c r="M10" s="298" t="s">
        <v>18</v>
      </c>
      <c r="N10" s="298" t="s">
        <v>18</v>
      </c>
      <c r="O10" s="299" t="s">
        <v>18</v>
      </c>
      <c r="P10" s="300"/>
      <c r="Q10" s="301" t="s">
        <v>18</v>
      </c>
      <c r="R10" s="298" t="s">
        <v>18</v>
      </c>
      <c r="S10" s="302" t="s">
        <v>18</v>
      </c>
      <c r="T10" s="271"/>
      <c r="U10" s="303" t="s">
        <v>18</v>
      </c>
      <c r="V10" s="1004"/>
      <c r="W10" s="292"/>
      <c r="X10" s="304" t="s">
        <v>18</v>
      </c>
      <c r="Y10" s="305" t="s">
        <v>18</v>
      </c>
      <c r="Z10" s="305" t="s">
        <v>18</v>
      </c>
      <c r="AA10" s="1444" t="s">
        <v>18</v>
      </c>
      <c r="AB10" s="304"/>
      <c r="AC10" s="305"/>
      <c r="AD10" s="1444"/>
      <c r="AE10" s="1452"/>
      <c r="AF10" s="1007"/>
      <c r="AG10" s="293"/>
      <c r="AH10" s="306" t="s">
        <v>18</v>
      </c>
      <c r="AI10" s="307" t="s">
        <v>18</v>
      </c>
      <c r="AJ10" s="308" t="s">
        <v>18</v>
      </c>
      <c r="AK10" s="306"/>
      <c r="AL10" s="307"/>
      <c r="AM10" s="308"/>
      <c r="AN10" s="1008"/>
    </row>
    <row r="11" spans="1:43" ht="39.950000000000003" customHeight="1">
      <c r="A11" s="972"/>
      <c r="B11" s="295"/>
      <c r="C11" s="309" t="s">
        <v>31</v>
      </c>
      <c r="D11" s="310" t="s">
        <v>31</v>
      </c>
      <c r="E11" s="311" t="s">
        <v>100</v>
      </c>
      <c r="F11" s="310" t="s">
        <v>31</v>
      </c>
      <c r="G11" s="311" t="s">
        <v>56</v>
      </c>
      <c r="H11" s="311" t="s">
        <v>56</v>
      </c>
      <c r="I11" s="311" t="s">
        <v>56</v>
      </c>
      <c r="J11" s="312" t="s">
        <v>31</v>
      </c>
      <c r="K11" s="310" t="s">
        <v>31</v>
      </c>
      <c r="L11" s="313" t="s">
        <v>100</v>
      </c>
      <c r="M11" s="314" t="s">
        <v>56</v>
      </c>
      <c r="N11" s="311" t="s">
        <v>56</v>
      </c>
      <c r="O11" s="313" t="s">
        <v>56</v>
      </c>
      <c r="P11" s="300"/>
      <c r="Q11" s="312" t="s">
        <v>31</v>
      </c>
      <c r="R11" s="310" t="s">
        <v>31</v>
      </c>
      <c r="S11" s="313" t="s">
        <v>56</v>
      </c>
      <c r="T11" s="271"/>
      <c r="U11" s="315" t="s">
        <v>56</v>
      </c>
      <c r="V11" s="1004"/>
      <c r="W11" s="292"/>
      <c r="X11" s="316" t="s">
        <v>57</v>
      </c>
      <c r="Y11" s="317" t="s">
        <v>57</v>
      </c>
      <c r="Z11" s="317" t="s">
        <v>57</v>
      </c>
      <c r="AA11" s="1445" t="s">
        <v>57</v>
      </c>
      <c r="AB11" s="316" t="s">
        <v>57</v>
      </c>
      <c r="AC11" s="317" t="s">
        <v>57</v>
      </c>
      <c r="AD11" s="1451" t="s">
        <v>57</v>
      </c>
      <c r="AE11" s="318" t="s">
        <v>57</v>
      </c>
      <c r="AF11" s="1007"/>
      <c r="AG11" s="293"/>
      <c r="AH11" s="319" t="s">
        <v>57</v>
      </c>
      <c r="AI11" s="320" t="s">
        <v>57</v>
      </c>
      <c r="AJ11" s="321" t="s">
        <v>57</v>
      </c>
      <c r="AK11" s="319" t="s">
        <v>57</v>
      </c>
      <c r="AL11" s="320" t="s">
        <v>57</v>
      </c>
      <c r="AM11" s="321" t="s">
        <v>57</v>
      </c>
      <c r="AN11" s="1008"/>
    </row>
    <row r="12" spans="1:43" ht="30" customHeight="1" thickBot="1">
      <c r="A12" s="972"/>
      <c r="B12" s="295"/>
      <c r="C12" s="1470">
        <v>1</v>
      </c>
      <c r="D12" s="1471">
        <v>2</v>
      </c>
      <c r="E12" s="1472">
        <v>3</v>
      </c>
      <c r="F12" s="1471">
        <v>4</v>
      </c>
      <c r="G12" s="1471">
        <v>5</v>
      </c>
      <c r="H12" s="1471">
        <v>6</v>
      </c>
      <c r="I12" s="1472">
        <v>7</v>
      </c>
      <c r="J12" s="1473">
        <v>8</v>
      </c>
      <c r="K12" s="1471">
        <v>9</v>
      </c>
      <c r="L12" s="1474">
        <v>10</v>
      </c>
      <c r="M12" s="1471">
        <v>11</v>
      </c>
      <c r="N12" s="1471">
        <v>12</v>
      </c>
      <c r="O12" s="1474">
        <v>13</v>
      </c>
      <c r="P12" s="300"/>
      <c r="Q12" s="1473">
        <v>14</v>
      </c>
      <c r="R12" s="1471">
        <v>15</v>
      </c>
      <c r="S12" s="1474">
        <v>16</v>
      </c>
      <c r="T12" s="271"/>
      <c r="U12" s="1475">
        <v>17</v>
      </c>
      <c r="V12" s="1004"/>
      <c r="W12" s="292"/>
      <c r="X12" s="322" t="s">
        <v>64</v>
      </c>
      <c r="Y12" s="323" t="s">
        <v>65</v>
      </c>
      <c r="Z12" s="323" t="s">
        <v>86</v>
      </c>
      <c r="AA12" s="1446" t="s">
        <v>87</v>
      </c>
      <c r="AB12" s="324" t="s">
        <v>88</v>
      </c>
      <c r="AC12" s="323" t="s">
        <v>120</v>
      </c>
      <c r="AD12" s="323" t="s">
        <v>121</v>
      </c>
      <c r="AE12" s="325" t="s">
        <v>122</v>
      </c>
      <c r="AF12" s="1007"/>
      <c r="AG12" s="293"/>
      <c r="AH12" s="326" t="s">
        <v>123</v>
      </c>
      <c r="AI12" s="327" t="s">
        <v>124</v>
      </c>
      <c r="AJ12" s="328" t="s">
        <v>125</v>
      </c>
      <c r="AK12" s="326" t="s">
        <v>126</v>
      </c>
      <c r="AL12" s="327" t="s">
        <v>128</v>
      </c>
      <c r="AM12" s="328" t="s">
        <v>127</v>
      </c>
      <c r="AN12" s="1008"/>
    </row>
    <row r="13" spans="1:43" ht="35.1" customHeight="1" thickBot="1">
      <c r="A13" s="972"/>
      <c r="B13" s="329" t="s">
        <v>12</v>
      </c>
      <c r="C13" s="330"/>
      <c r="D13" s="331"/>
      <c r="E13" s="332">
        <v>1193</v>
      </c>
      <c r="F13" s="333">
        <v>18</v>
      </c>
      <c r="G13" s="334"/>
      <c r="H13" s="334"/>
      <c r="I13" s="335">
        <f>SUM(E13,F13)</f>
        <v>1211</v>
      </c>
      <c r="J13" s="336">
        <v>174.77</v>
      </c>
      <c r="K13" s="337">
        <v>18.7</v>
      </c>
      <c r="L13" s="338">
        <f>SUM(J13:K13)</f>
        <v>193.47</v>
      </c>
      <c r="M13" s="339">
        <f>E13+J13</f>
        <v>1367.77</v>
      </c>
      <c r="N13" s="340">
        <f>SUM(F13,K13)</f>
        <v>36.700000000000003</v>
      </c>
      <c r="O13" s="392">
        <f>SUM(M13:N13)</f>
        <v>1404.47</v>
      </c>
      <c r="P13" s="271"/>
      <c r="Q13" s="342"/>
      <c r="R13" s="343"/>
      <c r="S13" s="344"/>
      <c r="T13" s="271"/>
      <c r="U13" s="345"/>
      <c r="V13" s="1004"/>
      <c r="W13" s="292"/>
      <c r="X13" s="346">
        <f>VLOOKUP($AP13,Early_Stats_Last_Year,VLOOKUP(Background!$C$2,Inst_Tables,15,FALSE),FALSE)</f>
        <v>1164.75</v>
      </c>
      <c r="Y13" s="347">
        <f>VLOOKUP($AP13,Early_Stats_Last_Year,VLOOKUP(Background!$C$2,Inst_Tables,16,FALSE),FALSE)</f>
        <v>167.23999999999998</v>
      </c>
      <c r="Z13" s="500">
        <f>SUM(X13:Y13)</f>
        <v>1331.99</v>
      </c>
      <c r="AA13" s="1465"/>
      <c r="AB13" s="1466">
        <f>IF(X13&gt;0,(I13-X13)/X13,"")</f>
        <v>3.9708091865207129E-2</v>
      </c>
      <c r="AC13" s="1467">
        <f>IF(Y13&gt;0,(L13-Y13)/Y13,"")</f>
        <v>0.15684046878737157</v>
      </c>
      <c r="AD13" s="1468">
        <f>IF(Z13&gt;0,(O13-Z13)/Z13,"")</f>
        <v>5.4414822934106127E-2</v>
      </c>
      <c r="AE13" s="1469"/>
      <c r="AF13" s="1007"/>
      <c r="AG13" s="293"/>
      <c r="AH13" s="348">
        <f>VLOOKUP($AQ13,Final_Figures_Last_Year,VLOOKUP(Background!$C$2,Inst_Tables,15,FALSE),FALSE)</f>
        <v>1193</v>
      </c>
      <c r="AI13" s="349">
        <f>VLOOKUP($AQ13,Final_Figures_Last_Year,VLOOKUP(Background!$C$2,Inst_Tables,16,FALSE),FALSE)</f>
        <v>175.08</v>
      </c>
      <c r="AJ13" s="350">
        <f>SUM(AH13:AI13)</f>
        <v>1368.08</v>
      </c>
      <c r="AK13" s="351">
        <f>IF(AH13&gt;0,(I13-AH13)/AH13,"")</f>
        <v>1.5088013411567477E-2</v>
      </c>
      <c r="AL13" s="352">
        <f>IF(AI13&gt;0,(L13-AI13)/AI13,"")</f>
        <v>0.10503769705277578</v>
      </c>
      <c r="AM13" s="353">
        <f>IF(AJ13&gt;0,(O13-AJ13)/AJ13,"")</f>
        <v>2.6599321677094983E-2</v>
      </c>
      <c r="AN13" s="1008"/>
      <c r="AP13" s="1410">
        <v>1</v>
      </c>
      <c r="AQ13" s="1410">
        <v>1</v>
      </c>
    </row>
    <row r="14" spans="1:43" ht="35.1" customHeight="1">
      <c r="A14" s="972"/>
      <c r="B14" s="354" t="s">
        <v>9</v>
      </c>
      <c r="C14" s="355"/>
      <c r="D14" s="356"/>
      <c r="E14" s="357"/>
      <c r="F14" s="356"/>
      <c r="G14" s="343"/>
      <c r="H14" s="343"/>
      <c r="I14" s="358"/>
      <c r="J14" s="355"/>
      <c r="K14" s="356"/>
      <c r="L14" s="358"/>
      <c r="M14" s="343"/>
      <c r="N14" s="343"/>
      <c r="O14" s="358"/>
      <c r="P14" s="271"/>
      <c r="Q14" s="342"/>
      <c r="R14" s="343"/>
      <c r="S14" s="344"/>
      <c r="T14" s="271"/>
      <c r="U14" s="359"/>
      <c r="V14" s="1004"/>
      <c r="W14" s="292"/>
      <c r="X14" s="377"/>
      <c r="Y14" s="378"/>
      <c r="Z14" s="378"/>
      <c r="AA14" s="380"/>
      <c r="AB14" s="379"/>
      <c r="AC14" s="378"/>
      <c r="AD14" s="503"/>
      <c r="AE14" s="423"/>
      <c r="AF14" s="1007"/>
      <c r="AG14" s="293"/>
      <c r="AH14" s="364"/>
      <c r="AI14" s="365"/>
      <c r="AJ14" s="366"/>
      <c r="AK14" s="367"/>
      <c r="AL14" s="365"/>
      <c r="AM14" s="368"/>
      <c r="AN14" s="1008"/>
      <c r="AP14" s="1411"/>
      <c r="AQ14" s="1411"/>
    </row>
    <row r="15" spans="1:43" ht="30" customHeight="1">
      <c r="A15" s="972"/>
      <c r="B15" s="369" t="s">
        <v>89</v>
      </c>
      <c r="C15" s="370"/>
      <c r="D15" s="371"/>
      <c r="E15" s="372"/>
      <c r="F15" s="371"/>
      <c r="G15" s="373"/>
      <c r="H15" s="373"/>
      <c r="I15" s="374"/>
      <c r="J15" s="370"/>
      <c r="K15" s="371"/>
      <c r="L15" s="374"/>
      <c r="M15" s="373"/>
      <c r="N15" s="373"/>
      <c r="O15" s="374"/>
      <c r="P15" s="271"/>
      <c r="Q15" s="375"/>
      <c r="R15" s="290"/>
      <c r="S15" s="376"/>
      <c r="T15" s="271"/>
      <c r="U15" s="345"/>
      <c r="V15" s="1004"/>
      <c r="W15" s="292"/>
      <c r="X15" s="377"/>
      <c r="Y15" s="378"/>
      <c r="Z15" s="486"/>
      <c r="AA15" s="380"/>
      <c r="AB15" s="379"/>
      <c r="AC15" s="378"/>
      <c r="AD15" s="503"/>
      <c r="AE15" s="423"/>
      <c r="AF15" s="1007"/>
      <c r="AG15" s="293"/>
      <c r="AH15" s="381"/>
      <c r="AI15" s="382"/>
      <c r="AJ15" s="383"/>
      <c r="AK15" s="384"/>
      <c r="AL15" s="382"/>
      <c r="AM15" s="294"/>
      <c r="AN15" s="1008"/>
      <c r="AP15" s="1411"/>
      <c r="AQ15" s="1411"/>
    </row>
    <row r="16" spans="1:43" ht="30" customHeight="1">
      <c r="A16" s="972"/>
      <c r="B16" s="385" t="s">
        <v>179</v>
      </c>
      <c r="C16" s="386"/>
      <c r="D16" s="387"/>
      <c r="E16" s="388">
        <f>D16</f>
        <v>0</v>
      </c>
      <c r="F16" s="387"/>
      <c r="G16" s="340"/>
      <c r="H16" s="340">
        <f>SUM(D16,F16)</f>
        <v>0</v>
      </c>
      <c r="I16" s="388">
        <f>SUM(G16:H16)</f>
        <v>0</v>
      </c>
      <c r="J16" s="389"/>
      <c r="K16" s="387"/>
      <c r="L16" s="390">
        <f>SUM(J16:K16)</f>
        <v>0</v>
      </c>
      <c r="M16" s="391">
        <f>SUM(E16,J16)</f>
        <v>0</v>
      </c>
      <c r="N16" s="340">
        <f>SUM(F16,K16)</f>
        <v>0</v>
      </c>
      <c r="O16" s="392">
        <f>SUM(M16:N16)</f>
        <v>0</v>
      </c>
      <c r="P16" s="271"/>
      <c r="Q16" s="393"/>
      <c r="R16" s="394"/>
      <c r="S16" s="376"/>
      <c r="T16" s="271"/>
      <c r="U16" s="431">
        <f>O16</f>
        <v>0</v>
      </c>
      <c r="V16" s="1004"/>
      <c r="W16" s="292"/>
      <c r="X16" s="395">
        <f>VLOOKUP($AP16,Early_Stats_Last_Year,VLOOKUP(Background!$C$2,Inst_Tables,15,FALSE),FALSE)</f>
        <v>0</v>
      </c>
      <c r="Y16" s="396">
        <f>VLOOKUP($AP16,Early_Stats_Last_Year,VLOOKUP(Background!$C$2,Inst_Tables,16,FALSE),FALSE)</f>
        <v>0</v>
      </c>
      <c r="Z16" s="1458">
        <f>SUM(X16:Y16)</f>
        <v>0</v>
      </c>
      <c r="AA16" s="1559"/>
      <c r="AB16" s="397" t="str">
        <f>IF(X16&gt;0,(I16-X16)/X16,"")</f>
        <v/>
      </c>
      <c r="AC16" s="398" t="str">
        <f>IF(Y16&gt;0,(L16-Y16)/Y16,"")</f>
        <v/>
      </c>
      <c r="AD16" s="1460" t="str">
        <f>IF(Z16&gt;0,(O16-Z16)/Z16,"")</f>
        <v/>
      </c>
      <c r="AE16" s="1462"/>
      <c r="AF16" s="1007"/>
      <c r="AG16" s="293"/>
      <c r="AH16" s="399">
        <f>VLOOKUP($AQ16,Final_Figures_Last_Year,VLOOKUP(Background!$C$2,Inst_Tables,15,FALSE),FALSE)</f>
        <v>0</v>
      </c>
      <c r="AI16" s="400">
        <f>VLOOKUP($AQ16,Final_Figures_Last_Year,VLOOKUP(Background!$C$2,Inst_Tables,16,FALSE),FALSE)</f>
        <v>0</v>
      </c>
      <c r="AJ16" s="401">
        <f>SUM(AH16:AI16)</f>
        <v>0</v>
      </c>
      <c r="AK16" s="576" t="str">
        <f>IF(AH16&gt;0,(I16-AH16)/AH16,"")</f>
        <v/>
      </c>
      <c r="AL16" s="403" t="str">
        <f>IF(AI16&gt;0,(L16-AI16)/AI16,"")</f>
        <v/>
      </c>
      <c r="AM16" s="404" t="str">
        <f>IF(AJ16&gt;0,(O16-AJ16)/AJ16,"")</f>
        <v/>
      </c>
      <c r="AN16" s="1008"/>
      <c r="AP16" s="1410">
        <v>2</v>
      </c>
      <c r="AQ16" s="1410">
        <v>2</v>
      </c>
    </row>
    <row r="17" spans="1:43" ht="30" customHeight="1">
      <c r="A17" s="972"/>
      <c r="B17" s="369" t="s">
        <v>91</v>
      </c>
      <c r="C17" s="389"/>
      <c r="D17" s="387">
        <v>889</v>
      </c>
      <c r="E17" s="388">
        <f>SUM(C17:D17)</f>
        <v>889</v>
      </c>
      <c r="F17" s="387">
        <v>44.6</v>
      </c>
      <c r="G17" s="340">
        <f>C17</f>
        <v>0</v>
      </c>
      <c r="H17" s="340">
        <f>SUM(D17,F17)</f>
        <v>933.6</v>
      </c>
      <c r="I17" s="388">
        <f>SUM(G17:H17)</f>
        <v>933.6</v>
      </c>
      <c r="J17" s="389">
        <v>239.93</v>
      </c>
      <c r="K17" s="387">
        <v>1.75</v>
      </c>
      <c r="L17" s="390">
        <f>SUM(J17:K17)</f>
        <v>241.68</v>
      </c>
      <c r="M17" s="391">
        <f>SUM(E17,J17)</f>
        <v>1128.93</v>
      </c>
      <c r="N17" s="340">
        <f>SUM(F17,K17)</f>
        <v>46.35</v>
      </c>
      <c r="O17" s="392">
        <f>SUM(M17:N17)</f>
        <v>1175.28</v>
      </c>
      <c r="P17" s="271"/>
      <c r="Q17" s="375"/>
      <c r="R17" s="290"/>
      <c r="S17" s="376"/>
      <c r="T17" s="271"/>
      <c r="U17" s="345"/>
      <c r="V17" s="1004"/>
      <c r="W17" s="292"/>
      <c r="X17" s="395">
        <f>VLOOKUP($AP17,Early_Stats_Last_Year,VLOOKUP(Background!$C$2,Inst_Tables,15,FALSE),FALSE)</f>
        <v>891.9</v>
      </c>
      <c r="Y17" s="396">
        <f>VLOOKUP($AP17,Early_Stats_Last_Year,VLOOKUP(Background!$C$2,Inst_Tables,16,FALSE),FALSE)</f>
        <v>298.22300000000001</v>
      </c>
      <c r="Z17" s="1458">
        <f>SUM(X17:Y17)</f>
        <v>1190.123</v>
      </c>
      <c r="AA17" s="1559"/>
      <c r="AB17" s="397">
        <f>IF(X17&gt;0,(I17-X17)/X17,"")</f>
        <v>4.6754120417087167E-2</v>
      </c>
      <c r="AC17" s="398">
        <f>IF(Y17&gt;0,(L17-Y17)/Y17,"")</f>
        <v>-0.18959972906180947</v>
      </c>
      <c r="AD17" s="1460">
        <f>IF(Z17&gt;0,(O17-Z17)/Z17,"")</f>
        <v>-1.2471820139599079E-2</v>
      </c>
      <c r="AE17" s="1462"/>
      <c r="AF17" s="1007"/>
      <c r="AG17" s="293"/>
      <c r="AH17" s="574">
        <f>VLOOKUP($AQ17,Final_Figures_Last_Year,VLOOKUP(Background!$C$2,Inst_Tables,15,FALSE),FALSE)</f>
        <v>870.33399999999995</v>
      </c>
      <c r="AI17" s="400">
        <f>VLOOKUP($AQ17,Final_Figures_Last_Year,VLOOKUP(Background!$C$2,Inst_Tables,16,FALSE),FALSE)</f>
        <v>257.82400000000001</v>
      </c>
      <c r="AJ17" s="401">
        <f>SUM(AH17:AI17)</f>
        <v>1128.1579999999999</v>
      </c>
      <c r="AK17" s="577">
        <f>IF(AH17&gt;0,(I17-AH17)/AH17,"")</f>
        <v>7.2691633326975716E-2</v>
      </c>
      <c r="AL17" s="403">
        <f>IF(AI17&gt;0,(L17-AI17)/AI17,"")</f>
        <v>-6.261635844607176E-2</v>
      </c>
      <c r="AM17" s="575">
        <f>IF(AJ17&gt;0,(O17-AJ17)/AJ17,"")</f>
        <v>4.1768972076606355E-2</v>
      </c>
      <c r="AN17" s="1008"/>
      <c r="AP17" s="1410">
        <v>3</v>
      </c>
      <c r="AQ17" s="1410">
        <v>3</v>
      </c>
    </row>
    <row r="18" spans="1:43" ht="30" customHeight="1">
      <c r="A18" s="972"/>
      <c r="B18" s="510" t="s">
        <v>250</v>
      </c>
      <c r="C18" s="455"/>
      <c r="D18" s="511"/>
      <c r="E18" s="512"/>
      <c r="F18" s="511"/>
      <c r="G18" s="513"/>
      <c r="H18" s="514"/>
      <c r="I18" s="515"/>
      <c r="J18" s="386"/>
      <c r="K18" s="518"/>
      <c r="L18" s="519"/>
      <c r="M18" s="516"/>
      <c r="N18" s="513"/>
      <c r="O18" s="509">
        <v>33</v>
      </c>
      <c r="P18" s="271"/>
      <c r="Q18" s="375"/>
      <c r="R18" s="290"/>
      <c r="S18" s="376"/>
      <c r="T18" s="271"/>
      <c r="U18" s="345"/>
      <c r="V18" s="1004"/>
      <c r="W18" s="292"/>
      <c r="X18" s="569"/>
      <c r="Y18" s="570"/>
      <c r="Z18" s="396">
        <f>VLOOKUP($AP18,Early_Stats_Last_Year,VLOOKUP(Background!$C$2,Inst_Tables,17,FALSE),FALSE)</f>
        <v>27</v>
      </c>
      <c r="AA18" s="1559"/>
      <c r="AB18" s="571"/>
      <c r="AC18" s="572"/>
      <c r="AD18" s="1460">
        <f>IF(Z18&gt;0,(O18-Z18)/Z18,"")</f>
        <v>0.22222222222222221</v>
      </c>
      <c r="AE18" s="1462"/>
      <c r="AF18" s="1007"/>
      <c r="AG18" s="293"/>
      <c r="AH18" s="574"/>
      <c r="AI18" s="400"/>
      <c r="AJ18" s="401"/>
      <c r="AK18" s="577"/>
      <c r="AL18" s="403"/>
      <c r="AM18" s="575"/>
      <c r="AN18" s="1008"/>
      <c r="AP18" s="1410">
        <v>3</v>
      </c>
      <c r="AQ18" s="1410"/>
    </row>
    <row r="19" spans="1:43" ht="35.1" customHeight="1" thickBot="1">
      <c r="A19" s="972"/>
      <c r="B19" s="405" t="s">
        <v>2</v>
      </c>
      <c r="C19" s="406">
        <f>C17</f>
        <v>0</v>
      </c>
      <c r="D19" s="407">
        <f>SUM(D16:D17)</f>
        <v>889</v>
      </c>
      <c r="E19" s="408">
        <f>SUM(E16:E17)</f>
        <v>889</v>
      </c>
      <c r="F19" s="407">
        <f>SUM(F16:F17)</f>
        <v>44.6</v>
      </c>
      <c r="G19" s="407">
        <f>G17</f>
        <v>0</v>
      </c>
      <c r="H19" s="408">
        <f t="shared" ref="H19:O19" si="0">SUM(H16:H17)</f>
        <v>933.6</v>
      </c>
      <c r="I19" s="409">
        <f t="shared" si="0"/>
        <v>933.6</v>
      </c>
      <c r="J19" s="407">
        <f t="shared" si="0"/>
        <v>239.93</v>
      </c>
      <c r="K19" s="407">
        <f t="shared" si="0"/>
        <v>1.75</v>
      </c>
      <c r="L19" s="409">
        <f t="shared" si="0"/>
        <v>241.68</v>
      </c>
      <c r="M19" s="407">
        <f t="shared" si="0"/>
        <v>1128.93</v>
      </c>
      <c r="N19" s="407">
        <f t="shared" si="0"/>
        <v>46.35</v>
      </c>
      <c r="O19" s="409">
        <f t="shared" si="0"/>
        <v>1175.28</v>
      </c>
      <c r="P19" s="271"/>
      <c r="Q19" s="411"/>
      <c r="R19" s="412"/>
      <c r="S19" s="413"/>
      <c r="T19" s="271"/>
      <c r="U19" s="414"/>
      <c r="V19" s="1004"/>
      <c r="W19" s="292"/>
      <c r="X19" s="435">
        <f>SUM(X16:X17)</f>
        <v>891.9</v>
      </c>
      <c r="Y19" s="436">
        <f>SUM(Y16:Y17)</f>
        <v>298.22300000000001</v>
      </c>
      <c r="Z19" s="436">
        <f>SUM(Z16:Z17)</f>
        <v>1190.123</v>
      </c>
      <c r="AA19" s="1560"/>
      <c r="AB19" s="416">
        <f>IF(X19&gt;0,(I19-X19)/X19,"")</f>
        <v>4.6754120417087167E-2</v>
      </c>
      <c r="AC19" s="417">
        <f>IF(Y19&gt;0,(L19-Y19)/Y19,"")</f>
        <v>-0.18959972906180947</v>
      </c>
      <c r="AD19" s="1461">
        <f>IF(Z19&gt;0,(O19-Z19)/Z19,"")</f>
        <v>-1.2471820139599079E-2</v>
      </c>
      <c r="AE19" s="1463"/>
      <c r="AF19" s="1007"/>
      <c r="AG19" s="293"/>
      <c r="AH19" s="439">
        <f>SUM(AH16:AH17)</f>
        <v>870.33399999999995</v>
      </c>
      <c r="AI19" s="440">
        <f>SUM(AI16:AI17)</f>
        <v>257.82400000000001</v>
      </c>
      <c r="AJ19" s="573">
        <f>SUM(AJ16:AJ17)</f>
        <v>1128.1579999999999</v>
      </c>
      <c r="AK19" s="578">
        <f>IF(AH19&gt;0,(I19-AH19)/AH19,"")</f>
        <v>7.2691633326975716E-2</v>
      </c>
      <c r="AL19" s="421">
        <f>IF(AI19&gt;0,(L19-AI19)/AI19,"")</f>
        <v>-6.261635844607176E-2</v>
      </c>
      <c r="AM19" s="422">
        <f>IF(AJ19&gt;0,(O19-AJ19)/AJ19,"")</f>
        <v>4.1768972076606355E-2</v>
      </c>
      <c r="AN19" s="1008"/>
      <c r="AP19" s="1411"/>
      <c r="AQ19" s="1411"/>
    </row>
    <row r="20" spans="1:43" ht="35.1" customHeight="1">
      <c r="A20" s="972"/>
      <c r="B20" s="354" t="s">
        <v>10</v>
      </c>
      <c r="C20" s="355"/>
      <c r="D20" s="356"/>
      <c r="E20" s="357"/>
      <c r="F20" s="356"/>
      <c r="G20" s="343"/>
      <c r="H20" s="343"/>
      <c r="I20" s="358"/>
      <c r="J20" s="355"/>
      <c r="K20" s="356"/>
      <c r="L20" s="358"/>
      <c r="M20" s="290"/>
      <c r="N20" s="290"/>
      <c r="O20" s="291"/>
      <c r="P20" s="271"/>
      <c r="Q20" s="375"/>
      <c r="R20" s="290"/>
      <c r="S20" s="376"/>
      <c r="T20" s="271"/>
      <c r="U20" s="345"/>
      <c r="V20" s="1004"/>
      <c r="W20" s="292"/>
      <c r="X20" s="377"/>
      <c r="Y20" s="378"/>
      <c r="Z20" s="378"/>
      <c r="AA20" s="380"/>
      <c r="AB20" s="379"/>
      <c r="AC20" s="378"/>
      <c r="AD20" s="503"/>
      <c r="AE20" s="423"/>
      <c r="AF20" s="1007"/>
      <c r="AG20" s="293"/>
      <c r="AH20" s="381"/>
      <c r="AI20" s="382"/>
      <c r="AJ20" s="424"/>
      <c r="AK20" s="384"/>
      <c r="AL20" s="382"/>
      <c r="AM20" s="294"/>
      <c r="AN20" s="1008"/>
      <c r="AP20" s="1411"/>
      <c r="AQ20" s="1411"/>
    </row>
    <row r="21" spans="1:43" ht="30" customHeight="1">
      <c r="A21" s="972"/>
      <c r="B21" s="369" t="s">
        <v>89</v>
      </c>
      <c r="C21" s="370"/>
      <c r="D21" s="371"/>
      <c r="E21" s="372"/>
      <c r="F21" s="371"/>
      <c r="G21" s="373"/>
      <c r="H21" s="373"/>
      <c r="I21" s="374"/>
      <c r="J21" s="370"/>
      <c r="K21" s="371"/>
      <c r="L21" s="374"/>
      <c r="M21" s="373"/>
      <c r="N21" s="373"/>
      <c r="O21" s="374"/>
      <c r="P21" s="271"/>
      <c r="Q21" s="375"/>
      <c r="R21" s="290"/>
      <c r="S21" s="376"/>
      <c r="T21" s="271"/>
      <c r="U21" s="345"/>
      <c r="V21" s="1004"/>
      <c r="W21" s="292"/>
      <c r="X21" s="377"/>
      <c r="Y21" s="378"/>
      <c r="Z21" s="486"/>
      <c r="AA21" s="380"/>
      <c r="AB21" s="379"/>
      <c r="AC21" s="378"/>
      <c r="AD21" s="503"/>
      <c r="AE21" s="423"/>
      <c r="AF21" s="1007"/>
      <c r="AG21" s="293"/>
      <c r="AH21" s="381"/>
      <c r="AI21" s="382"/>
      <c r="AJ21" s="383"/>
      <c r="AK21" s="384"/>
      <c r="AL21" s="382"/>
      <c r="AM21" s="294"/>
      <c r="AN21" s="1008"/>
      <c r="AP21" s="1411"/>
      <c r="AQ21" s="1411"/>
    </row>
    <row r="22" spans="1:43" ht="30" customHeight="1">
      <c r="A22" s="972"/>
      <c r="B22" s="385" t="s">
        <v>92</v>
      </c>
      <c r="C22" s="389"/>
      <c r="D22" s="425">
        <v>187</v>
      </c>
      <c r="E22" s="388">
        <f>SUM(C22:D22)</f>
        <v>187</v>
      </c>
      <c r="F22" s="387"/>
      <c r="G22" s="340">
        <f t="shared" ref="G22:G24" si="1">C22</f>
        <v>0</v>
      </c>
      <c r="H22" s="340">
        <f>SUM(D22,F22)</f>
        <v>187</v>
      </c>
      <c r="I22" s="426">
        <f>SUM(G22:H22)</f>
        <v>187</v>
      </c>
      <c r="J22" s="389">
        <v>1</v>
      </c>
      <c r="K22" s="387"/>
      <c r="L22" s="427">
        <f>SUM(J22:K22)</f>
        <v>1</v>
      </c>
      <c r="M22" s="391">
        <f>SUM(E22,J22)</f>
        <v>188</v>
      </c>
      <c r="N22" s="340">
        <f>SUM(F22,K22)</f>
        <v>0</v>
      </c>
      <c r="O22" s="392">
        <f>SUM(M22:N22)</f>
        <v>188</v>
      </c>
      <c r="P22" s="271"/>
      <c r="Q22" s="428">
        <v>4</v>
      </c>
      <c r="R22" s="429"/>
      <c r="S22" s="430">
        <f>SUM(Q22:R22)</f>
        <v>4</v>
      </c>
      <c r="T22" s="271"/>
      <c r="U22" s="431">
        <f>SUM(O22,S22)</f>
        <v>192</v>
      </c>
      <c r="V22" s="1004"/>
      <c r="W22" s="292"/>
      <c r="X22" s="395">
        <f>VLOOKUP($AP22,Early_Stats_Last_Year,VLOOKUP(Background!$C$2,Inst_Tables,15,FALSE),FALSE)</f>
        <v>163</v>
      </c>
      <c r="Y22" s="396">
        <f>VLOOKUP($AP22,Early_Stats_Last_Year,VLOOKUP(Background!$C$2,Inst_Tables,16,FALSE),FALSE)</f>
        <v>1.5</v>
      </c>
      <c r="Z22" s="1458">
        <f>SUM(X22:Y22)</f>
        <v>164.5</v>
      </c>
      <c r="AA22" s="396">
        <f>VLOOKUP($AP22,Early_Stats_Last_Year,VLOOKUP(Background!$C$2,Inst_Tables,17,FALSE),FALSE)</f>
        <v>4</v>
      </c>
      <c r="AB22" s="397">
        <f>IF(X22&gt;0,(I22-X22)/X22,"")</f>
        <v>0.14723926380368099</v>
      </c>
      <c r="AC22" s="398">
        <f>IF(Y22&gt;0,(L22-Y22)/Y22,"")</f>
        <v>-0.33333333333333331</v>
      </c>
      <c r="AD22" s="1562">
        <f>IF(Z22&gt;0,(O22-Z22)/Z22,"")</f>
        <v>0.14285714285714285</v>
      </c>
      <c r="AE22" s="1561">
        <f>IF(AA22&gt;0,(S22-AA22)/AA22,"")</f>
        <v>0</v>
      </c>
      <c r="AF22" s="1007"/>
      <c r="AG22" s="293"/>
      <c r="AH22" s="399">
        <f>VLOOKUP($AQ22,Final_Figures_Last_Year,VLOOKUP(Background!$C$2,Inst_Tables,15,FALSE),FALSE)</f>
        <v>166</v>
      </c>
      <c r="AI22" s="400">
        <f>VLOOKUP($AQ22,Final_Figures_Last_Year,VLOOKUP(Background!$C$2,Inst_Tables,16,FALSE),FALSE)</f>
        <v>0.5</v>
      </c>
      <c r="AJ22" s="401">
        <f>SUM(AH22:AI22)</f>
        <v>166.5</v>
      </c>
      <c r="AK22" s="402">
        <f>IF(AH22&gt;0,(I22-AH22)/AH22,"")</f>
        <v>0.12650602409638553</v>
      </c>
      <c r="AL22" s="403">
        <f>IF(AI22&gt;0,(L22-AI22)/AI22,"")</f>
        <v>1</v>
      </c>
      <c r="AM22" s="404">
        <f>IF(AJ22&gt;0,(O22-AJ22)/AJ22,"")</f>
        <v>0.12912912912912913</v>
      </c>
      <c r="AN22" s="1008"/>
      <c r="AP22" s="1410">
        <v>4</v>
      </c>
      <c r="AQ22" s="1410">
        <v>4</v>
      </c>
    </row>
    <row r="23" spans="1:43" ht="30" customHeight="1">
      <c r="A23" s="972"/>
      <c r="B23" s="385" t="s">
        <v>93</v>
      </c>
      <c r="C23" s="389"/>
      <c r="D23" s="425">
        <v>161</v>
      </c>
      <c r="E23" s="388">
        <f>SUM(C23:D23)</f>
        <v>161</v>
      </c>
      <c r="F23" s="387"/>
      <c r="G23" s="340">
        <f t="shared" si="1"/>
        <v>0</v>
      </c>
      <c r="H23" s="340">
        <f>SUM(D23,F23)</f>
        <v>161</v>
      </c>
      <c r="I23" s="426">
        <f>SUM(G23:H23)</f>
        <v>161</v>
      </c>
      <c r="J23" s="389">
        <v>1</v>
      </c>
      <c r="K23" s="387"/>
      <c r="L23" s="427">
        <f>SUM(J23:K23)</f>
        <v>1</v>
      </c>
      <c r="M23" s="391">
        <f>SUM(E23,J23)</f>
        <v>162</v>
      </c>
      <c r="N23" s="340">
        <f t="shared" ref="N23:N24" si="2">SUM(F23,K23)</f>
        <v>0</v>
      </c>
      <c r="O23" s="392">
        <f>SUM(M23:N23)</f>
        <v>162</v>
      </c>
      <c r="P23" s="271"/>
      <c r="Q23" s="428">
        <v>8</v>
      </c>
      <c r="R23" s="429"/>
      <c r="S23" s="430">
        <f>SUM(Q23:R23)</f>
        <v>8</v>
      </c>
      <c r="T23" s="271"/>
      <c r="U23" s="431">
        <f>SUM(O23,S23)</f>
        <v>170</v>
      </c>
      <c r="V23" s="1004"/>
      <c r="W23" s="292"/>
      <c r="X23" s="395">
        <f>VLOOKUP($AP23,Early_Stats_Last_Year,VLOOKUP(Background!$C$2,Inst_Tables,15,FALSE),FALSE)</f>
        <v>157</v>
      </c>
      <c r="Y23" s="396">
        <f>VLOOKUP($AP23,Early_Stats_Last_Year,VLOOKUP(Background!$C$2,Inst_Tables,16,FALSE),FALSE)</f>
        <v>0</v>
      </c>
      <c r="Z23" s="1458">
        <f>SUM(X23:Y23)</f>
        <v>157</v>
      </c>
      <c r="AA23" s="396">
        <f>VLOOKUP($AP23,Early_Stats_Last_Year,VLOOKUP(Background!$C$2,Inst_Tables,17,FALSE),FALSE)</f>
        <v>7</v>
      </c>
      <c r="AB23" s="397">
        <f>IF(X23&gt;0,(I23-X23)/X23,"")</f>
        <v>2.5477707006369428E-2</v>
      </c>
      <c r="AC23" s="398" t="str">
        <f>IF(Y23&gt;0,(L23-Y23)/Y23,"")</f>
        <v/>
      </c>
      <c r="AD23" s="1562">
        <f>IF(Z23&gt;0,(O23-Z23)/Z23,"")</f>
        <v>3.1847133757961783E-2</v>
      </c>
      <c r="AE23" s="1561">
        <f>IF(AA23&gt;0,(S23-AA23)/AA23,"")</f>
        <v>0.14285714285714285</v>
      </c>
      <c r="AF23" s="1007"/>
      <c r="AG23" s="293"/>
      <c r="AH23" s="399">
        <f>VLOOKUP($AQ23,Final_Figures_Last_Year,VLOOKUP(Background!$C$2,Inst_Tables,15,FALSE),FALSE)</f>
        <v>145</v>
      </c>
      <c r="AI23" s="400">
        <f>VLOOKUP($AQ23,Final_Figures_Last_Year,VLOOKUP(Background!$C$2,Inst_Tables,16,FALSE),FALSE)</f>
        <v>3</v>
      </c>
      <c r="AJ23" s="401">
        <f>SUM(AH23:AI23)</f>
        <v>148</v>
      </c>
      <c r="AK23" s="402">
        <f>IF(AH23&gt;0,(I23-AH23)/AH23,"")</f>
        <v>0.1103448275862069</v>
      </c>
      <c r="AL23" s="403">
        <f>IF(AI23&gt;0,(L23-AI23)/AI23,"")</f>
        <v>-0.66666666666666663</v>
      </c>
      <c r="AM23" s="404">
        <f>IF(AJ23&gt;0,(O23-AJ23)/AJ23,"")</f>
        <v>9.45945945945946E-2</v>
      </c>
      <c r="AN23" s="1008"/>
      <c r="AP23" s="1410">
        <v>5</v>
      </c>
      <c r="AQ23" s="1410">
        <v>5</v>
      </c>
    </row>
    <row r="24" spans="1:43" ht="30" customHeight="1">
      <c r="A24" s="972"/>
      <c r="B24" s="369" t="s">
        <v>91</v>
      </c>
      <c r="C24" s="389"/>
      <c r="D24" s="425">
        <v>16</v>
      </c>
      <c r="E24" s="388">
        <f>SUM(C24:D24)</f>
        <v>16</v>
      </c>
      <c r="F24" s="387">
        <v>0.5</v>
      </c>
      <c r="G24" s="340">
        <f t="shared" si="1"/>
        <v>0</v>
      </c>
      <c r="H24" s="340">
        <f>SUM(D24,F24)</f>
        <v>16.5</v>
      </c>
      <c r="I24" s="426">
        <f>SUM(G24:H24)</f>
        <v>16.5</v>
      </c>
      <c r="J24" s="389">
        <v>337.62</v>
      </c>
      <c r="K24" s="387">
        <v>65.25</v>
      </c>
      <c r="L24" s="427">
        <f>SUM(J24:K24)</f>
        <v>402.87</v>
      </c>
      <c r="M24" s="391">
        <f>SUM(E24,J24)</f>
        <v>353.62</v>
      </c>
      <c r="N24" s="340">
        <f t="shared" si="2"/>
        <v>65.75</v>
      </c>
      <c r="O24" s="392">
        <f>SUM(M24:N24)</f>
        <v>419.37</v>
      </c>
      <c r="P24" s="271"/>
      <c r="Q24" s="375"/>
      <c r="R24" s="290"/>
      <c r="S24" s="376"/>
      <c r="T24" s="271"/>
      <c r="U24" s="345"/>
      <c r="V24" s="1004"/>
      <c r="W24" s="292"/>
      <c r="X24" s="395">
        <f>VLOOKUP($AP24,Early_Stats_Last_Year,VLOOKUP(Background!$C$2,Inst_Tables,15,FALSE),FALSE)</f>
        <v>56.5</v>
      </c>
      <c r="Y24" s="396">
        <f>VLOOKUP($AP24,Early_Stats_Last_Year,VLOOKUP(Background!$C$2,Inst_Tables,16,FALSE),FALSE)</f>
        <v>307.86833300000018</v>
      </c>
      <c r="Z24" s="1458">
        <f>SUM(X24:Y24)</f>
        <v>364.36833300000018</v>
      </c>
      <c r="AA24" s="1558"/>
      <c r="AB24" s="397">
        <f>IF(X24&gt;0,(I24-X24)/X24,"")</f>
        <v>-0.70796460176991149</v>
      </c>
      <c r="AC24" s="398">
        <f>IF(Y24&gt;0,(L24-Y24)/Y24,"")</f>
        <v>0.30857888524702465</v>
      </c>
      <c r="AD24" s="1460">
        <f>IF(Z24&gt;0,(O24-Z24)/Z24,"")</f>
        <v>0.15095073314178431</v>
      </c>
      <c r="AE24" s="1462"/>
      <c r="AF24" s="1007"/>
      <c r="AG24" s="293"/>
      <c r="AH24" s="399">
        <f>VLOOKUP($AQ24,Final_Figures_Last_Year,VLOOKUP(Background!$C$2,Inst_Tables,15,FALSE),FALSE)</f>
        <v>42.665999999999997</v>
      </c>
      <c r="AI24" s="400">
        <f>VLOOKUP($AQ24,Final_Figures_Last_Year,VLOOKUP(Background!$C$2,Inst_Tables,16,FALSE),FALSE)</f>
        <v>271.66699699999998</v>
      </c>
      <c r="AJ24" s="401">
        <f>SUM(AH24:AI24)</f>
        <v>314.33299699999998</v>
      </c>
      <c r="AK24" s="402">
        <f>IF(AH24&gt;0,(I24-AH24)/AH24,"")</f>
        <v>-0.61327520742511599</v>
      </c>
      <c r="AL24" s="403">
        <f>IF(AI24&gt;0,(L24-AI24)/AI24,"")</f>
        <v>0.4829552520139207</v>
      </c>
      <c r="AM24" s="404">
        <f>IF(AJ24&gt;0,(O24-AJ24)/AJ24,"")</f>
        <v>0.33415837345259697</v>
      </c>
      <c r="AN24" s="1008"/>
      <c r="AP24" s="1410">
        <v>6</v>
      </c>
      <c r="AQ24" s="1410">
        <v>6</v>
      </c>
    </row>
    <row r="25" spans="1:43" ht="35.1" customHeight="1" thickBot="1">
      <c r="A25" s="972"/>
      <c r="B25" s="405" t="s">
        <v>2</v>
      </c>
      <c r="C25" s="391">
        <f t="shared" ref="C25:O25" si="3">SUM(C22:C24)</f>
        <v>0</v>
      </c>
      <c r="D25" s="432">
        <f t="shared" si="3"/>
        <v>364</v>
      </c>
      <c r="E25" s="410">
        <f t="shared" si="3"/>
        <v>364</v>
      </c>
      <c r="F25" s="407">
        <f t="shared" si="3"/>
        <v>0.5</v>
      </c>
      <c r="G25" s="407">
        <f t="shared" si="3"/>
        <v>0</v>
      </c>
      <c r="H25" s="407">
        <f t="shared" si="3"/>
        <v>364.5</v>
      </c>
      <c r="I25" s="433">
        <f t="shared" si="3"/>
        <v>364.5</v>
      </c>
      <c r="J25" s="407">
        <f t="shared" si="3"/>
        <v>339.62</v>
      </c>
      <c r="K25" s="407">
        <f t="shared" si="3"/>
        <v>65.25</v>
      </c>
      <c r="L25" s="410">
        <f t="shared" si="3"/>
        <v>404.87</v>
      </c>
      <c r="M25" s="434">
        <f t="shared" si="3"/>
        <v>703.62</v>
      </c>
      <c r="N25" s="407">
        <f t="shared" si="3"/>
        <v>65.75</v>
      </c>
      <c r="O25" s="409">
        <f t="shared" si="3"/>
        <v>769.37</v>
      </c>
      <c r="P25" s="271"/>
      <c r="Q25" s="375"/>
      <c r="R25" s="290"/>
      <c r="S25" s="376"/>
      <c r="T25" s="271"/>
      <c r="U25" s="345"/>
      <c r="V25" s="1004"/>
      <c r="W25" s="292"/>
      <c r="X25" s="435">
        <f>SUM(X22:X24)</f>
        <v>376.5</v>
      </c>
      <c r="Y25" s="436">
        <f>SUM(Y22:Y24)</f>
        <v>309.36833300000018</v>
      </c>
      <c r="Z25" s="415">
        <f>SUM(Z22:Z24)</f>
        <v>685.86833300000012</v>
      </c>
      <c r="AA25" s="1456"/>
      <c r="AB25" s="437">
        <f>IF(X25&gt;0,(I25-X25)/X25,"")</f>
        <v>-3.1872509960159362E-2</v>
      </c>
      <c r="AC25" s="438">
        <f>IF(Y25&gt;0,(L25-Y25)/Y25,"")</f>
        <v>0.3086989094000121</v>
      </c>
      <c r="AD25" s="1454">
        <f>IF(Z25&gt;0,(O25-Z25)/Z25,"")</f>
        <v>0.12174591387644641</v>
      </c>
      <c r="AE25" s="1464"/>
      <c r="AF25" s="1007"/>
      <c r="AG25" s="293"/>
      <c r="AH25" s="439">
        <f>SUM(AH22:AH24)</f>
        <v>353.666</v>
      </c>
      <c r="AI25" s="440">
        <f>SUM(AI22:AI24)</f>
        <v>275.16699699999998</v>
      </c>
      <c r="AJ25" s="419">
        <f>SUM(AJ22:AJ24)</f>
        <v>628.83299699999998</v>
      </c>
      <c r="AK25" s="441">
        <f>IF(AH25&gt;0,(I25-AH25)/AH25,"")</f>
        <v>3.0633422494670121E-2</v>
      </c>
      <c r="AL25" s="442">
        <f>IF(AI25&gt;0,(L25-AI25)/AI25,"")</f>
        <v>0.47136104407172069</v>
      </c>
      <c r="AM25" s="443">
        <f>IF(AJ25&gt;0,(O25-AJ25)/AJ25,"")</f>
        <v>0.22348859501722368</v>
      </c>
      <c r="AN25" s="1008"/>
      <c r="AP25" s="1411"/>
      <c r="AQ25" s="1411"/>
    </row>
    <row r="26" spans="1:43" ht="35.1" customHeight="1">
      <c r="A26" s="972"/>
      <c r="B26" s="444" t="s">
        <v>11</v>
      </c>
      <c r="C26" s="355"/>
      <c r="D26" s="445"/>
      <c r="E26" s="357"/>
      <c r="F26" s="356"/>
      <c r="G26" s="343"/>
      <c r="H26" s="343"/>
      <c r="I26" s="358"/>
      <c r="J26" s="355"/>
      <c r="K26" s="356"/>
      <c r="L26" s="358"/>
      <c r="M26" s="343"/>
      <c r="N26" s="343"/>
      <c r="O26" s="358"/>
      <c r="P26" s="271"/>
      <c r="Q26" s="342"/>
      <c r="R26" s="343"/>
      <c r="S26" s="344"/>
      <c r="T26" s="271"/>
      <c r="U26" s="359"/>
      <c r="V26" s="1004"/>
      <c r="W26" s="292"/>
      <c r="X26" s="360"/>
      <c r="Y26" s="361"/>
      <c r="Z26" s="361"/>
      <c r="AA26" s="363"/>
      <c r="AB26" s="362"/>
      <c r="AC26" s="361"/>
      <c r="AD26" s="1447"/>
      <c r="AE26" s="423"/>
      <c r="AF26" s="1007"/>
      <c r="AG26" s="293"/>
      <c r="AH26" s="364"/>
      <c r="AI26" s="365"/>
      <c r="AJ26" s="366"/>
      <c r="AK26" s="367"/>
      <c r="AL26" s="365"/>
      <c r="AM26" s="368"/>
      <c r="AN26" s="1008"/>
      <c r="AP26" s="1411"/>
      <c r="AQ26" s="1411"/>
    </row>
    <row r="27" spans="1:43" ht="30" customHeight="1">
      <c r="A27" s="972"/>
      <c r="B27" s="369" t="s">
        <v>89</v>
      </c>
      <c r="C27" s="446"/>
      <c r="D27" s="1009"/>
      <c r="E27" s="447"/>
      <c r="F27" s="394"/>
      <c r="G27" s="290"/>
      <c r="H27" s="290"/>
      <c r="I27" s="291"/>
      <c r="J27" s="446"/>
      <c r="K27" s="394"/>
      <c r="L27" s="291"/>
      <c r="M27" s="290"/>
      <c r="N27" s="290"/>
      <c r="O27" s="291"/>
      <c r="P27" s="271"/>
      <c r="Q27" s="375"/>
      <c r="R27" s="290"/>
      <c r="S27" s="376"/>
      <c r="T27" s="271"/>
      <c r="U27" s="345"/>
      <c r="V27" s="1004"/>
      <c r="W27" s="292"/>
      <c r="X27" s="377"/>
      <c r="Y27" s="378"/>
      <c r="Z27" s="378"/>
      <c r="AA27" s="380"/>
      <c r="AB27" s="379"/>
      <c r="AC27" s="378"/>
      <c r="AD27" s="503"/>
      <c r="AE27" s="423"/>
      <c r="AF27" s="1007"/>
      <c r="AG27" s="293"/>
      <c r="AH27" s="381"/>
      <c r="AI27" s="382"/>
      <c r="AJ27" s="424"/>
      <c r="AK27" s="384"/>
      <c r="AL27" s="382"/>
      <c r="AM27" s="294"/>
      <c r="AN27" s="1008"/>
      <c r="AP27" s="1411"/>
      <c r="AQ27" s="1411"/>
    </row>
    <row r="28" spans="1:43" ht="30" customHeight="1">
      <c r="A28" s="972"/>
      <c r="B28" s="448" t="s">
        <v>95</v>
      </c>
      <c r="C28" s="370"/>
      <c r="D28" s="449"/>
      <c r="E28" s="372"/>
      <c r="F28" s="371"/>
      <c r="G28" s="373"/>
      <c r="H28" s="373"/>
      <c r="I28" s="374"/>
      <c r="J28" s="370"/>
      <c r="K28" s="371"/>
      <c r="L28" s="374"/>
      <c r="M28" s="373"/>
      <c r="N28" s="373"/>
      <c r="O28" s="374"/>
      <c r="P28" s="271"/>
      <c r="Q28" s="450"/>
      <c r="R28" s="371"/>
      <c r="S28" s="451"/>
      <c r="T28" s="271"/>
      <c r="U28" s="452"/>
      <c r="V28" s="1004"/>
      <c r="W28" s="292"/>
      <c r="X28" s="377"/>
      <c r="Y28" s="378"/>
      <c r="Z28" s="486"/>
      <c r="AA28" s="380"/>
      <c r="AB28" s="379"/>
      <c r="AC28" s="378"/>
      <c r="AD28" s="503"/>
      <c r="AE28" s="423"/>
      <c r="AF28" s="1007"/>
      <c r="AG28" s="293"/>
      <c r="AH28" s="381"/>
      <c r="AI28" s="382"/>
      <c r="AJ28" s="383"/>
      <c r="AK28" s="384"/>
      <c r="AL28" s="382"/>
      <c r="AM28" s="294"/>
      <c r="AN28" s="1008"/>
      <c r="AP28" s="1411"/>
      <c r="AQ28" s="1411"/>
    </row>
    <row r="29" spans="1:43" ht="30" customHeight="1">
      <c r="A29" s="972"/>
      <c r="B29" s="453" t="s">
        <v>33</v>
      </c>
      <c r="C29" s="389">
        <v>128</v>
      </c>
      <c r="D29" s="425">
        <v>500</v>
      </c>
      <c r="E29" s="388">
        <f>SUM(C29:D29)</f>
        <v>628</v>
      </c>
      <c r="F29" s="387"/>
      <c r="G29" s="340">
        <f>C29</f>
        <v>128</v>
      </c>
      <c r="H29" s="340">
        <f>SUM(D29,F29)</f>
        <v>500</v>
      </c>
      <c r="I29" s="426">
        <f>SUM(G29:H29)</f>
        <v>628</v>
      </c>
      <c r="J29" s="389"/>
      <c r="K29" s="387"/>
      <c r="L29" s="427">
        <f>SUM(J29:K29)</f>
        <v>0</v>
      </c>
      <c r="M29" s="391">
        <f>SUM(E29,J29)</f>
        <v>628</v>
      </c>
      <c r="N29" s="340">
        <f>SUM(F29,K29)</f>
        <v>0</v>
      </c>
      <c r="O29" s="392">
        <f>SUM(M29:N29)</f>
        <v>628</v>
      </c>
      <c r="P29" s="271"/>
      <c r="Q29" s="454">
        <v>100</v>
      </c>
      <c r="R29" s="387"/>
      <c r="S29" s="430">
        <f>SUM(Q29:R29)</f>
        <v>100</v>
      </c>
      <c r="T29" s="271"/>
      <c r="U29" s="431">
        <f>SUM(O29,S29)</f>
        <v>728</v>
      </c>
      <c r="V29" s="1004"/>
      <c r="W29" s="292"/>
      <c r="X29" s="395">
        <f>VLOOKUP($AP29,Early_Stats_Last_Year,VLOOKUP(Background!$C$2,Inst_Tables,15,FALSE),FALSE)</f>
        <v>660</v>
      </c>
      <c r="Y29" s="396">
        <f>VLOOKUP($AP29,Early_Stats_Last_Year,VLOOKUP(Background!$C$2,Inst_Tables,16,FALSE),FALSE)</f>
        <v>0</v>
      </c>
      <c r="Z29" s="1458">
        <f>SUM(X29:Y29)</f>
        <v>660</v>
      </c>
      <c r="AA29" s="396">
        <f>VLOOKUP($AP29,Early_Stats_Last_Year,VLOOKUP(Background!$C$2,Inst_Tables,17,FALSE),FALSE)</f>
        <v>60</v>
      </c>
      <c r="AB29" s="397">
        <f>IF(X29&gt;0,(I29-X29)/X29,"")</f>
        <v>-4.8484848484848485E-2</v>
      </c>
      <c r="AC29" s="398" t="str">
        <f>IF(Y29&gt;0,(L29-Y29)/Y29,"")</f>
        <v/>
      </c>
      <c r="AD29" s="1562">
        <f>IF(Z29&gt;0,(O29-Z29)/Z29,"")</f>
        <v>-4.8484848484848485E-2</v>
      </c>
      <c r="AE29" s="1561">
        <f t="shared" ref="AE29:AE37" si="4">IF(AA29&gt;0,(S29-AA29)/AA29,"")</f>
        <v>0.66666666666666663</v>
      </c>
      <c r="AF29" s="1007"/>
      <c r="AG29" s="293"/>
      <c r="AH29" s="399">
        <f>VLOOKUP($AQ29,Final_Figures_Last_Year,VLOOKUP(Background!$C$2,Inst_Tables,15,FALSE),FALSE)</f>
        <v>748</v>
      </c>
      <c r="AI29" s="400">
        <f>VLOOKUP($AQ29,Final_Figures_Last_Year,VLOOKUP(Background!$C$2,Inst_Tables,16,FALSE),FALSE)</f>
        <v>0</v>
      </c>
      <c r="AJ29" s="401">
        <f>SUM(AH29:AI29)</f>
        <v>748</v>
      </c>
      <c r="AK29" s="402">
        <f>IF(AH29&gt;0,(I29-AH29)/AH29,"")</f>
        <v>-0.16042780748663102</v>
      </c>
      <c r="AL29" s="403" t="str">
        <f>IF(AI29&gt;0,(L29-AI29)/AI29,"")</f>
        <v/>
      </c>
      <c r="AM29" s="404">
        <f>IF(AJ29&gt;0,(O29-AJ29)/AJ29,"")</f>
        <v>-0.16042780748663102</v>
      </c>
      <c r="AN29" s="1008"/>
      <c r="AP29" s="1410">
        <v>7</v>
      </c>
      <c r="AQ29" s="1410">
        <v>7</v>
      </c>
    </row>
    <row r="30" spans="1:43" ht="30" customHeight="1">
      <c r="A30" s="972"/>
      <c r="B30" s="453" t="s">
        <v>34</v>
      </c>
      <c r="C30" s="389">
        <v>29</v>
      </c>
      <c r="D30" s="425">
        <v>251</v>
      </c>
      <c r="E30" s="388">
        <f>SUM(C30:D30)</f>
        <v>280</v>
      </c>
      <c r="F30" s="387"/>
      <c r="G30" s="340">
        <f t="shared" ref="G30:G31" si="5">C30</f>
        <v>29</v>
      </c>
      <c r="H30" s="340">
        <f>SUM(D30,F30)</f>
        <v>251</v>
      </c>
      <c r="I30" s="426">
        <f>SUM(G30:H30)</f>
        <v>280</v>
      </c>
      <c r="J30" s="389"/>
      <c r="K30" s="387"/>
      <c r="L30" s="427">
        <f>SUM(J30:K30)</f>
        <v>0</v>
      </c>
      <c r="M30" s="391">
        <f>SUM(E30,J30)</f>
        <v>280</v>
      </c>
      <c r="N30" s="340">
        <f t="shared" ref="N30:N32" si="6">SUM(F30,K30)</f>
        <v>0</v>
      </c>
      <c r="O30" s="392">
        <f>SUM(M30:N30)</f>
        <v>280</v>
      </c>
      <c r="P30" s="271"/>
      <c r="Q30" s="454">
        <v>40</v>
      </c>
      <c r="R30" s="387"/>
      <c r="S30" s="430">
        <f>SUM(Q30:R30)</f>
        <v>40</v>
      </c>
      <c r="T30" s="271"/>
      <c r="U30" s="431">
        <f>SUM(O30,S30)</f>
        <v>320</v>
      </c>
      <c r="V30" s="1004"/>
      <c r="W30" s="292"/>
      <c r="X30" s="395">
        <f>VLOOKUP($AP30,Early_Stats_Last_Year,VLOOKUP(Background!$C$2,Inst_Tables,15,FALSE),FALSE)</f>
        <v>304</v>
      </c>
      <c r="Y30" s="396">
        <f>VLOOKUP($AP30,Early_Stats_Last_Year,VLOOKUP(Background!$C$2,Inst_Tables,16,FALSE),FALSE)</f>
        <v>0</v>
      </c>
      <c r="Z30" s="1458">
        <f>SUM(X30:Y30)</f>
        <v>304</v>
      </c>
      <c r="AA30" s="396">
        <f>VLOOKUP($AP30,Early_Stats_Last_Year,VLOOKUP(Background!$C$2,Inst_Tables,17,FALSE),FALSE)</f>
        <v>26</v>
      </c>
      <c r="AB30" s="397">
        <f>IF(X30&gt;0,(I30-X30)/X30,"")</f>
        <v>-7.8947368421052627E-2</v>
      </c>
      <c r="AC30" s="398" t="str">
        <f>IF(Y30&gt;0,(L30-Y30)/Y30,"")</f>
        <v/>
      </c>
      <c r="AD30" s="1562">
        <f>IF(Z30&gt;0,(O30-Z30)/Z30,"")</f>
        <v>-7.8947368421052627E-2</v>
      </c>
      <c r="AE30" s="1561">
        <f t="shared" si="4"/>
        <v>0.53846153846153844</v>
      </c>
      <c r="AF30" s="1007"/>
      <c r="AG30" s="293"/>
      <c r="AH30" s="399">
        <f>VLOOKUP($AQ30,Final_Figures_Last_Year,VLOOKUP(Background!$C$2,Inst_Tables,15,FALSE),FALSE)</f>
        <v>330</v>
      </c>
      <c r="AI30" s="400">
        <f>VLOOKUP($AQ30,Final_Figures_Last_Year,VLOOKUP(Background!$C$2,Inst_Tables,16,FALSE),FALSE)</f>
        <v>0</v>
      </c>
      <c r="AJ30" s="401">
        <f>SUM(AH30:AI30)</f>
        <v>330</v>
      </c>
      <c r="AK30" s="402">
        <f>IF(AH30&gt;0,(I30-AH30)/AH30,"")</f>
        <v>-0.15151515151515152</v>
      </c>
      <c r="AL30" s="403" t="str">
        <f>IF(AI30&gt;0,(L30-AI30)/AI30,"")</f>
        <v/>
      </c>
      <c r="AM30" s="404">
        <f>IF(AJ30&gt;0,(O30-AJ30)/AJ30,"")</f>
        <v>-0.15151515151515152</v>
      </c>
      <c r="AN30" s="1008"/>
      <c r="AP30" s="1410">
        <v>8</v>
      </c>
      <c r="AQ30" s="1410">
        <v>8</v>
      </c>
    </row>
    <row r="31" spans="1:43" ht="30" customHeight="1">
      <c r="A31" s="972"/>
      <c r="B31" s="453" t="s">
        <v>5</v>
      </c>
      <c r="C31" s="389"/>
      <c r="D31" s="425">
        <v>311</v>
      </c>
      <c r="E31" s="388">
        <f>SUM(C31:D31)</f>
        <v>311</v>
      </c>
      <c r="F31" s="387"/>
      <c r="G31" s="340">
        <f t="shared" si="5"/>
        <v>0</v>
      </c>
      <c r="H31" s="340">
        <f>SUM(D31,F31)</f>
        <v>311</v>
      </c>
      <c r="I31" s="426">
        <f>SUM(G31:H31)</f>
        <v>311</v>
      </c>
      <c r="J31" s="389"/>
      <c r="K31" s="387"/>
      <c r="L31" s="427">
        <f>SUM(J31:K31)</f>
        <v>0</v>
      </c>
      <c r="M31" s="391">
        <f>SUM(E31,J31)</f>
        <v>311</v>
      </c>
      <c r="N31" s="340">
        <f t="shared" si="6"/>
        <v>0</v>
      </c>
      <c r="O31" s="392">
        <f>SUM(M31:N31)</f>
        <v>311</v>
      </c>
      <c r="P31" s="271"/>
      <c r="Q31" s="454">
        <v>116</v>
      </c>
      <c r="R31" s="387"/>
      <c r="S31" s="430">
        <f>SUM(Q31:R31)</f>
        <v>116</v>
      </c>
      <c r="T31" s="271"/>
      <c r="U31" s="431">
        <f>SUM(O31,S31)</f>
        <v>427</v>
      </c>
      <c r="V31" s="1004"/>
      <c r="W31" s="292"/>
      <c r="X31" s="395">
        <f>VLOOKUP($AP31,Early_Stats_Last_Year,VLOOKUP(Background!$C$2,Inst_Tables,15,FALSE),FALSE)</f>
        <v>317</v>
      </c>
      <c r="Y31" s="396">
        <f>VLOOKUP($AP31,Early_Stats_Last_Year,VLOOKUP(Background!$C$2,Inst_Tables,16,FALSE),FALSE)</f>
        <v>0</v>
      </c>
      <c r="Z31" s="1458">
        <f>SUM(X31:Y31)</f>
        <v>317</v>
      </c>
      <c r="AA31" s="396">
        <f>VLOOKUP($AP31,Early_Stats_Last_Year,VLOOKUP(Background!$C$2,Inst_Tables,17,FALSE),FALSE)</f>
        <v>118</v>
      </c>
      <c r="AB31" s="397">
        <f>IF(X31&gt;0,(I31-X31)/X31,"")</f>
        <v>-1.8927444794952682E-2</v>
      </c>
      <c r="AC31" s="398" t="str">
        <f>IF(Y31&gt;0,(L31-Y31)/Y31,"")</f>
        <v/>
      </c>
      <c r="AD31" s="1562">
        <f>IF(Z31&gt;0,(O31-Z31)/Z31,"")</f>
        <v>-1.8927444794952682E-2</v>
      </c>
      <c r="AE31" s="1561">
        <f t="shared" si="4"/>
        <v>-1.6949152542372881E-2</v>
      </c>
      <c r="AF31" s="1007"/>
      <c r="AG31" s="293"/>
      <c r="AH31" s="399">
        <f>VLOOKUP($AQ31,Final_Figures_Last_Year,VLOOKUP(Background!$C$2,Inst_Tables,15,FALSE),FALSE)</f>
        <v>323</v>
      </c>
      <c r="AI31" s="400">
        <f>VLOOKUP($AQ31,Final_Figures_Last_Year,VLOOKUP(Background!$C$2,Inst_Tables,16,FALSE),FALSE)</f>
        <v>0</v>
      </c>
      <c r="AJ31" s="401">
        <f>SUM(AH31:AI31)</f>
        <v>323</v>
      </c>
      <c r="AK31" s="402">
        <f>IF(AH31&gt;0,(I31-AH31)/AH31,"")</f>
        <v>-3.7151702786377708E-2</v>
      </c>
      <c r="AL31" s="403" t="str">
        <f>IF(AI31&gt;0,(L31-AI31)/AI31,"")</f>
        <v/>
      </c>
      <c r="AM31" s="404">
        <f>IF(AJ31&gt;0,(O31-AJ31)/AJ31,"")</f>
        <v>-3.7151702786377708E-2</v>
      </c>
      <c r="AN31" s="1008"/>
      <c r="AP31" s="1410">
        <v>9</v>
      </c>
      <c r="AQ31" s="1410">
        <v>9</v>
      </c>
    </row>
    <row r="32" spans="1:43" ht="30" customHeight="1">
      <c r="A32" s="972"/>
      <c r="B32" s="453" t="s">
        <v>6</v>
      </c>
      <c r="C32" s="455"/>
      <c r="D32" s="387">
        <v>53</v>
      </c>
      <c r="E32" s="388">
        <f>D32</f>
        <v>53</v>
      </c>
      <c r="F32" s="387"/>
      <c r="G32" s="340"/>
      <c r="H32" s="340">
        <f>SUM(E32,F32)</f>
        <v>53</v>
      </c>
      <c r="I32" s="426">
        <f>H32</f>
        <v>53</v>
      </c>
      <c r="J32" s="389"/>
      <c r="K32" s="387"/>
      <c r="L32" s="427">
        <f>SUM(J32:K32)</f>
        <v>0</v>
      </c>
      <c r="M32" s="391">
        <f>SUM(E32,J32)</f>
        <v>53</v>
      </c>
      <c r="N32" s="340">
        <f t="shared" si="6"/>
        <v>0</v>
      </c>
      <c r="O32" s="392">
        <f>SUM(M32:N32)</f>
        <v>53</v>
      </c>
      <c r="P32" s="271"/>
      <c r="Q32" s="454">
        <v>14</v>
      </c>
      <c r="R32" s="387"/>
      <c r="S32" s="430">
        <f>SUM(Q32:R32)</f>
        <v>14</v>
      </c>
      <c r="T32" s="271"/>
      <c r="U32" s="431">
        <f>SUM(O32,S32)</f>
        <v>67</v>
      </c>
      <c r="V32" s="1004"/>
      <c r="W32" s="292"/>
      <c r="X32" s="395">
        <f>VLOOKUP($AP32,Early_Stats_Last_Year,VLOOKUP(Background!$C$2,Inst_Tables,15,FALSE),FALSE)</f>
        <v>53</v>
      </c>
      <c r="Y32" s="396">
        <f>VLOOKUP($AP32,Early_Stats_Last_Year,VLOOKUP(Background!$C$2,Inst_Tables,16,FALSE),FALSE)</f>
        <v>0</v>
      </c>
      <c r="Z32" s="1458">
        <f>SUM(X32:Y32)</f>
        <v>53</v>
      </c>
      <c r="AA32" s="396">
        <f>VLOOKUP($AP32,Early_Stats_Last_Year,VLOOKUP(Background!$C$2,Inst_Tables,17,FALSE),FALSE)</f>
        <v>13</v>
      </c>
      <c r="AB32" s="397">
        <f>IF(X32&gt;0,(I32-X32)/X32,"")</f>
        <v>0</v>
      </c>
      <c r="AC32" s="398" t="str">
        <f>IF(Y32&gt;0,(L32-Y32)/Y32,"")</f>
        <v/>
      </c>
      <c r="AD32" s="1562">
        <f>IF(Z32&gt;0,(O32-Z32)/Z32,"")</f>
        <v>0</v>
      </c>
      <c r="AE32" s="1561">
        <f t="shared" si="4"/>
        <v>7.6923076923076927E-2</v>
      </c>
      <c r="AF32" s="1007"/>
      <c r="AG32" s="293"/>
      <c r="AH32" s="399">
        <f>VLOOKUP($AQ32,Final_Figures_Last_Year,VLOOKUP(Background!$C$2,Inst_Tables,15,FALSE),FALSE)</f>
        <v>65</v>
      </c>
      <c r="AI32" s="400">
        <f>VLOOKUP($AQ32,Final_Figures_Last_Year,VLOOKUP(Background!$C$2,Inst_Tables,16,FALSE),FALSE)</f>
        <v>0</v>
      </c>
      <c r="AJ32" s="401">
        <f>SUM(AH32:AI32)</f>
        <v>65</v>
      </c>
      <c r="AK32" s="402">
        <f>IF(AH32&gt;0,(I32-AH32)/AH32,"")</f>
        <v>-0.18461538461538463</v>
      </c>
      <c r="AL32" s="403" t="str">
        <f>IF(AI32&gt;0,(L32-AI32)/AI32,"")</f>
        <v/>
      </c>
      <c r="AM32" s="404">
        <f>IF(AJ32&gt;0,(O32-AJ32)/AJ32,"")</f>
        <v>-0.18461538461538463</v>
      </c>
      <c r="AN32" s="1008"/>
      <c r="AP32" s="1410">
        <v>10</v>
      </c>
      <c r="AQ32" s="1410">
        <v>10</v>
      </c>
    </row>
    <row r="33" spans="1:43" ht="30" customHeight="1">
      <c r="A33" s="972"/>
      <c r="B33" s="448" t="s">
        <v>7</v>
      </c>
      <c r="C33" s="456"/>
      <c r="D33" s="457"/>
      <c r="E33" s="458"/>
      <c r="F33" s="459"/>
      <c r="G33" s="460"/>
      <c r="H33" s="460"/>
      <c r="I33" s="461"/>
      <c r="J33" s="457"/>
      <c r="K33" s="459"/>
      <c r="L33" s="461"/>
      <c r="M33" s="460"/>
      <c r="N33" s="460"/>
      <c r="O33" s="461"/>
      <c r="P33" s="271"/>
      <c r="Q33" s="462"/>
      <c r="R33" s="459"/>
      <c r="S33" s="463"/>
      <c r="T33" s="271"/>
      <c r="U33" s="345"/>
      <c r="V33" s="1004"/>
      <c r="W33" s="292"/>
      <c r="X33" s="464"/>
      <c r="Y33" s="465"/>
      <c r="Z33" s="1459"/>
      <c r="AA33" s="466"/>
      <c r="AB33" s="503"/>
      <c r="AC33" s="378"/>
      <c r="AD33" s="503"/>
      <c r="AE33" s="423"/>
      <c r="AF33" s="1007"/>
      <c r="AG33" s="293"/>
      <c r="AH33" s="467"/>
      <c r="AI33" s="468"/>
      <c r="AJ33" s="469"/>
      <c r="AK33" s="384"/>
      <c r="AL33" s="382"/>
      <c r="AM33" s="294"/>
      <c r="AN33" s="1008"/>
      <c r="AP33" s="1411"/>
      <c r="AQ33" s="1411"/>
    </row>
    <row r="34" spans="1:43" ht="30" customHeight="1">
      <c r="A34" s="972"/>
      <c r="B34" s="453" t="s">
        <v>99</v>
      </c>
      <c r="C34" s="389"/>
      <c r="D34" s="425">
        <v>555</v>
      </c>
      <c r="E34" s="388">
        <f>SUM(C34:D34)</f>
        <v>555</v>
      </c>
      <c r="F34" s="387"/>
      <c r="G34" s="340">
        <f t="shared" ref="G34:G37" si="7">C34</f>
        <v>0</v>
      </c>
      <c r="H34" s="340">
        <f>SUM(D34,F34)</f>
        <v>555</v>
      </c>
      <c r="I34" s="426">
        <f>SUM(G34:H34)</f>
        <v>555</v>
      </c>
      <c r="J34" s="389">
        <v>8.8800000000000008</v>
      </c>
      <c r="K34" s="387"/>
      <c r="L34" s="427">
        <f>SUM(J34:K34)</f>
        <v>8.8800000000000008</v>
      </c>
      <c r="M34" s="391">
        <f>SUM(E34,J34)</f>
        <v>563.88</v>
      </c>
      <c r="N34" s="340">
        <f>SUM(F34,K34)</f>
        <v>0</v>
      </c>
      <c r="O34" s="392">
        <f>SUM(M34:N34)</f>
        <v>563.88</v>
      </c>
      <c r="P34" s="271"/>
      <c r="Q34" s="454">
        <v>9</v>
      </c>
      <c r="R34" s="387"/>
      <c r="S34" s="430">
        <f>SUM(Q34:R34)</f>
        <v>9</v>
      </c>
      <c r="T34" s="271"/>
      <c r="U34" s="431">
        <f>SUM(O34,S34)</f>
        <v>572.88</v>
      </c>
      <c r="V34" s="1004"/>
      <c r="W34" s="292"/>
      <c r="X34" s="395">
        <f>VLOOKUP($AP34,Early_Stats_Last_Year,VLOOKUP(Background!$C$2,Inst_Tables,15,FALSE),FALSE)</f>
        <v>564</v>
      </c>
      <c r="Y34" s="396">
        <f>VLOOKUP($AP34,Early_Stats_Last_Year,VLOOKUP(Background!$C$2,Inst_Tables,16,FALSE),FALSE)</f>
        <v>5.6</v>
      </c>
      <c r="Z34" s="1458">
        <f>SUM(X34:Y34)</f>
        <v>569.6</v>
      </c>
      <c r="AA34" s="396">
        <f>VLOOKUP($AP34,Early_Stats_Last_Year,VLOOKUP(Background!$C$2,Inst_Tables,17,FALSE),FALSE)</f>
        <v>6</v>
      </c>
      <c r="AB34" s="397">
        <f>IF(X34&gt;0,(I34-X34)/X34,"")</f>
        <v>-1.5957446808510637E-2</v>
      </c>
      <c r="AC34" s="398">
        <f>IF(Y34&gt;0,(L34-Y34)/Y34,"")</f>
        <v>0.58571428571428596</v>
      </c>
      <c r="AD34" s="1562">
        <f>IF(Z34&gt;0,(O34-Z34)/Z34,"")</f>
        <v>-1.0042134831460721E-2</v>
      </c>
      <c r="AE34" s="1561">
        <f t="shared" si="4"/>
        <v>0.5</v>
      </c>
      <c r="AF34" s="1007"/>
      <c r="AG34" s="293"/>
      <c r="AH34" s="399">
        <f>VLOOKUP($AQ34,Final_Figures_Last_Year,VLOOKUP(Background!$C$2,Inst_Tables,15,FALSE),FALSE)</f>
        <v>585.08399999999995</v>
      </c>
      <c r="AI34" s="400">
        <f>VLOOKUP($AQ34,Final_Figures_Last_Year,VLOOKUP(Background!$C$2,Inst_Tables,16,FALSE),FALSE)</f>
        <v>14.05</v>
      </c>
      <c r="AJ34" s="401">
        <f>SUM(AH34:AI34)</f>
        <v>599.1339999999999</v>
      </c>
      <c r="AK34" s="402">
        <f>IF(AH34&gt;0,(I34-AH34)/AH34,"")</f>
        <v>-5.1418257891174511E-2</v>
      </c>
      <c r="AL34" s="403">
        <f>IF(AI34&gt;0,(L34-AI34)/AI34,"")</f>
        <v>-0.36797153024911028</v>
      </c>
      <c r="AM34" s="404">
        <f>IF(AJ34&gt;0,(O34-AJ34)/AJ34,"")</f>
        <v>-5.8841594701685949E-2</v>
      </c>
      <c r="AN34" s="1008"/>
      <c r="AP34" s="1410">
        <v>11</v>
      </c>
      <c r="AQ34" s="1410">
        <v>11</v>
      </c>
    </row>
    <row r="35" spans="1:43" ht="30" customHeight="1">
      <c r="A35" s="972"/>
      <c r="B35" s="453" t="s">
        <v>21</v>
      </c>
      <c r="C35" s="389"/>
      <c r="D35" s="425"/>
      <c r="E35" s="388">
        <f>SUM(C35:D35)</f>
        <v>0</v>
      </c>
      <c r="F35" s="387"/>
      <c r="G35" s="340">
        <f t="shared" si="7"/>
        <v>0</v>
      </c>
      <c r="H35" s="340">
        <f>SUM(D35,F35)</f>
        <v>0</v>
      </c>
      <c r="I35" s="426">
        <f>SUM(G35:H35)</f>
        <v>0</v>
      </c>
      <c r="J35" s="389"/>
      <c r="K35" s="387"/>
      <c r="L35" s="427">
        <f>SUM(J35:K35)</f>
        <v>0</v>
      </c>
      <c r="M35" s="391">
        <f>SUM(E35,J35)</f>
        <v>0</v>
      </c>
      <c r="N35" s="340">
        <f t="shared" ref="N35:N37" si="8">SUM(F35,K35)</f>
        <v>0</v>
      </c>
      <c r="O35" s="392">
        <f>SUM(M35:N35)</f>
        <v>0</v>
      </c>
      <c r="P35" s="271"/>
      <c r="Q35" s="454"/>
      <c r="R35" s="387"/>
      <c r="S35" s="430">
        <f>SUM(Q35:R35)</f>
        <v>0</v>
      </c>
      <c r="T35" s="271"/>
      <c r="U35" s="431">
        <f>SUM(O35,S35)</f>
        <v>0</v>
      </c>
      <c r="V35" s="1004"/>
      <c r="W35" s="292"/>
      <c r="X35" s="395">
        <f>VLOOKUP($AP35,Early_Stats_Last_Year,VLOOKUP(Background!$C$2,Inst_Tables,15,FALSE),FALSE)</f>
        <v>0</v>
      </c>
      <c r="Y35" s="396">
        <f>VLOOKUP($AP35,Early_Stats_Last_Year,VLOOKUP(Background!$C$2,Inst_Tables,16,FALSE),FALSE)</f>
        <v>0</v>
      </c>
      <c r="Z35" s="1458">
        <f>SUM(X35:Y35)</f>
        <v>0</v>
      </c>
      <c r="AA35" s="396">
        <f>VLOOKUP($AP35,Early_Stats_Last_Year,VLOOKUP(Background!$C$2,Inst_Tables,17,FALSE),FALSE)</f>
        <v>0</v>
      </c>
      <c r="AB35" s="397" t="str">
        <f>IF(X35&gt;0,(I35-X35)/X35,"")</f>
        <v/>
      </c>
      <c r="AC35" s="398" t="str">
        <f>IF(Y35&gt;0,(L35-Y35)/Y35,"")</f>
        <v/>
      </c>
      <c r="AD35" s="1562" t="str">
        <f>IF(Z35&gt;0,(O35-Z35)/Z35,"")</f>
        <v/>
      </c>
      <c r="AE35" s="1561" t="str">
        <f t="shared" si="4"/>
        <v/>
      </c>
      <c r="AF35" s="1007"/>
      <c r="AG35" s="293"/>
      <c r="AH35" s="399">
        <f>VLOOKUP($AQ35,Final_Figures_Last_Year,VLOOKUP(Background!$C$2,Inst_Tables,15,FALSE),FALSE)</f>
        <v>0</v>
      </c>
      <c r="AI35" s="400">
        <f>VLOOKUP($AQ35,Final_Figures_Last_Year,VLOOKUP(Background!$C$2,Inst_Tables,16,FALSE),FALSE)</f>
        <v>0</v>
      </c>
      <c r="AJ35" s="401">
        <f>SUM(AH35:AI35)</f>
        <v>0</v>
      </c>
      <c r="AK35" s="402" t="str">
        <f>IF(AH35&gt;0,(I35-AH35)/AH35,"")</f>
        <v/>
      </c>
      <c r="AL35" s="403" t="str">
        <f>IF(AI35&gt;0,(L35-AI35)/AI35,"")</f>
        <v/>
      </c>
      <c r="AM35" s="404" t="str">
        <f>IF(AJ35&gt;0,(O35-AJ35)/AJ35,"")</f>
        <v/>
      </c>
      <c r="AN35" s="1008"/>
      <c r="AP35" s="1410">
        <v>12</v>
      </c>
      <c r="AQ35" s="1410">
        <v>12</v>
      </c>
    </row>
    <row r="36" spans="1:43" ht="30" customHeight="1">
      <c r="A36" s="972"/>
      <c r="B36" s="453" t="s">
        <v>22</v>
      </c>
      <c r="C36" s="389"/>
      <c r="D36" s="425"/>
      <c r="E36" s="388">
        <f>SUM(C36:D36)</f>
        <v>0</v>
      </c>
      <c r="F36" s="387"/>
      <c r="G36" s="340">
        <f t="shared" si="7"/>
        <v>0</v>
      </c>
      <c r="H36" s="340">
        <f>SUM(D36,F36)</f>
        <v>0</v>
      </c>
      <c r="I36" s="426">
        <f>SUM(G36:H36)</f>
        <v>0</v>
      </c>
      <c r="J36" s="389"/>
      <c r="K36" s="387"/>
      <c r="L36" s="427">
        <f t="shared" ref="L36" si="9">SUM(J36:K36)</f>
        <v>0</v>
      </c>
      <c r="M36" s="391">
        <f>SUM(E36,J36)</f>
        <v>0</v>
      </c>
      <c r="N36" s="340">
        <f t="shared" si="8"/>
        <v>0</v>
      </c>
      <c r="O36" s="392">
        <f>SUM(M36:N36)</f>
        <v>0</v>
      </c>
      <c r="P36" s="271"/>
      <c r="Q36" s="454"/>
      <c r="R36" s="387"/>
      <c r="S36" s="430">
        <f>SUM(Q36:R36)</f>
        <v>0</v>
      </c>
      <c r="T36" s="271"/>
      <c r="U36" s="431">
        <f>SUM(O36,S36)</f>
        <v>0</v>
      </c>
      <c r="V36" s="1004"/>
      <c r="W36" s="292"/>
      <c r="X36" s="395">
        <f>VLOOKUP($AP36,Early_Stats_Last_Year,VLOOKUP(Background!$C$2,Inst_Tables,15,FALSE),FALSE)</f>
        <v>0</v>
      </c>
      <c r="Y36" s="396">
        <f>VLOOKUP($AP36,Early_Stats_Last_Year,VLOOKUP(Background!$C$2,Inst_Tables,16,FALSE),FALSE)</f>
        <v>0</v>
      </c>
      <c r="Z36" s="1458">
        <f>SUM(X36:Y36)</f>
        <v>0</v>
      </c>
      <c r="AA36" s="396">
        <f>VLOOKUP($AP36,Early_Stats_Last_Year,VLOOKUP(Background!$C$2,Inst_Tables,17,FALSE),FALSE)</f>
        <v>0</v>
      </c>
      <c r="AB36" s="397" t="str">
        <f>IF(X36&gt;0,(I36-X36)/X36,"")</f>
        <v/>
      </c>
      <c r="AC36" s="398" t="str">
        <f>IF(Y36&gt;0,(L36-Y36)/Y36,"")</f>
        <v/>
      </c>
      <c r="AD36" s="1562" t="str">
        <f>IF(Z36&gt;0,(O36-Z36)/Z36,"")</f>
        <v/>
      </c>
      <c r="AE36" s="1561" t="str">
        <f t="shared" si="4"/>
        <v/>
      </c>
      <c r="AF36" s="1007"/>
      <c r="AG36" s="293"/>
      <c r="AH36" s="399">
        <f>VLOOKUP($AQ36,Final_Figures_Last_Year,VLOOKUP(Background!$C$2,Inst_Tables,15,FALSE),FALSE)</f>
        <v>0</v>
      </c>
      <c r="AI36" s="400">
        <f>VLOOKUP($AQ36,Final_Figures_Last_Year,VLOOKUP(Background!$C$2,Inst_Tables,16,FALSE),FALSE)</f>
        <v>0</v>
      </c>
      <c r="AJ36" s="401">
        <f>SUM(AH36:AI36)</f>
        <v>0</v>
      </c>
      <c r="AK36" s="402" t="str">
        <f>IF(AH36&gt;0,(I36-AH36)/AH36,"")</f>
        <v/>
      </c>
      <c r="AL36" s="403" t="str">
        <f>IF(AI36&gt;0,(L36-AI36)/AI36,"")</f>
        <v/>
      </c>
      <c r="AM36" s="404" t="str">
        <f>IF(AJ36&gt;0,(O36-AJ36)/AJ36,"")</f>
        <v/>
      </c>
      <c r="AN36" s="1008"/>
      <c r="AP36" s="1410">
        <v>13</v>
      </c>
      <c r="AQ36" s="1410">
        <v>13</v>
      </c>
    </row>
    <row r="37" spans="1:43" ht="30" customHeight="1">
      <c r="A37" s="972"/>
      <c r="B37" s="453" t="s">
        <v>23</v>
      </c>
      <c r="C37" s="389"/>
      <c r="D37" s="425">
        <v>91</v>
      </c>
      <c r="E37" s="388">
        <f>SUM(C37:D37)</f>
        <v>91</v>
      </c>
      <c r="F37" s="387"/>
      <c r="G37" s="340">
        <f t="shared" si="7"/>
        <v>0</v>
      </c>
      <c r="H37" s="340">
        <f>SUM(D37,F37)</f>
        <v>91</v>
      </c>
      <c r="I37" s="426">
        <f>SUM(G37:H37)</f>
        <v>91</v>
      </c>
      <c r="J37" s="389">
        <v>0.6</v>
      </c>
      <c r="K37" s="387"/>
      <c r="L37" s="427">
        <f>SUM(J37:K37)</f>
        <v>0.6</v>
      </c>
      <c r="M37" s="391">
        <f>SUM(E37,J37)</f>
        <v>91.6</v>
      </c>
      <c r="N37" s="340">
        <f t="shared" si="8"/>
        <v>0</v>
      </c>
      <c r="O37" s="392">
        <f>SUM(M37:N37)</f>
        <v>91.6</v>
      </c>
      <c r="P37" s="271"/>
      <c r="Q37" s="454"/>
      <c r="R37" s="387"/>
      <c r="S37" s="430">
        <f>SUM(Q37:R37)</f>
        <v>0</v>
      </c>
      <c r="T37" s="271"/>
      <c r="U37" s="431">
        <f>SUM(O37,S37)</f>
        <v>91.6</v>
      </c>
      <c r="V37" s="1004"/>
      <c r="W37" s="292"/>
      <c r="X37" s="395">
        <f>VLOOKUP($AP37,Early_Stats_Last_Year,VLOOKUP(Background!$C$2,Inst_Tables,15,FALSE),FALSE)</f>
        <v>95</v>
      </c>
      <c r="Y37" s="396">
        <f>VLOOKUP($AP37,Early_Stats_Last_Year,VLOOKUP(Background!$C$2,Inst_Tables,16,FALSE),FALSE)</f>
        <v>1.6</v>
      </c>
      <c r="Z37" s="1458">
        <f>SUM(X37:Y37)</f>
        <v>96.6</v>
      </c>
      <c r="AA37" s="396">
        <f>VLOOKUP($AP37,Early_Stats_Last_Year,VLOOKUP(Background!$C$2,Inst_Tables,17,FALSE),FALSE)</f>
        <v>0</v>
      </c>
      <c r="AB37" s="397">
        <f>IF(X37&gt;0,(I37-X37)/X37,"")</f>
        <v>-4.2105263157894736E-2</v>
      </c>
      <c r="AC37" s="398">
        <f>IF(Y37&gt;0,(L37-Y37)/Y37,"")</f>
        <v>-0.625</v>
      </c>
      <c r="AD37" s="1562">
        <f>IF(Z37&gt;0,(O37-Z37)/Z37,"")</f>
        <v>-5.1759834368530024E-2</v>
      </c>
      <c r="AE37" s="1561" t="str">
        <f t="shared" si="4"/>
        <v/>
      </c>
      <c r="AF37" s="1007"/>
      <c r="AG37" s="293"/>
      <c r="AH37" s="399">
        <f>VLOOKUP($AQ37,Final_Figures_Last_Year,VLOOKUP(Background!$C$2,Inst_Tables,15,FALSE),FALSE)</f>
        <v>107</v>
      </c>
      <c r="AI37" s="400">
        <f>VLOOKUP($AQ37,Final_Figures_Last_Year,VLOOKUP(Background!$C$2,Inst_Tables,16,FALSE),FALSE)</f>
        <v>1.6</v>
      </c>
      <c r="AJ37" s="401">
        <f>SUM(AH37:AI37)</f>
        <v>108.6</v>
      </c>
      <c r="AK37" s="402">
        <f>IF(AH37&gt;0,(I37-AH37)/AH37,"")</f>
        <v>-0.14953271028037382</v>
      </c>
      <c r="AL37" s="403">
        <f>IF(AI37&gt;0,(L37-AI37)/AI37,"")</f>
        <v>-0.625</v>
      </c>
      <c r="AM37" s="404">
        <f>IF(AJ37&gt;0,(O37-AJ37)/AJ37,"")</f>
        <v>-0.15653775322283611</v>
      </c>
      <c r="AN37" s="1008"/>
      <c r="AP37" s="1410">
        <v>14</v>
      </c>
      <c r="AQ37" s="1410">
        <v>14</v>
      </c>
    </row>
    <row r="38" spans="1:43" ht="30" customHeight="1">
      <c r="A38" s="972"/>
      <c r="B38" s="448" t="s">
        <v>179</v>
      </c>
      <c r="C38" s="456"/>
      <c r="D38" s="457"/>
      <c r="E38" s="458"/>
      <c r="F38" s="459"/>
      <c r="G38" s="460"/>
      <c r="H38" s="460"/>
      <c r="I38" s="461"/>
      <c r="J38" s="457"/>
      <c r="K38" s="459"/>
      <c r="L38" s="461"/>
      <c r="M38" s="460"/>
      <c r="N38" s="460"/>
      <c r="O38" s="461"/>
      <c r="P38" s="271"/>
      <c r="Q38" s="470"/>
      <c r="R38" s="471"/>
      <c r="S38" s="472"/>
      <c r="T38" s="271"/>
      <c r="U38" s="345"/>
      <c r="V38" s="1004"/>
      <c r="W38" s="292"/>
      <c r="X38" s="395"/>
      <c r="Y38" s="396"/>
      <c r="Z38" s="1458"/>
      <c r="AA38" s="1558"/>
      <c r="AB38" s="397"/>
      <c r="AC38" s="398"/>
      <c r="AD38" s="1460"/>
      <c r="AE38" s="1462"/>
      <c r="AF38" s="1007"/>
      <c r="AG38" s="293"/>
      <c r="AH38" s="399"/>
      <c r="AI38" s="400"/>
      <c r="AJ38" s="401"/>
      <c r="AK38" s="402"/>
      <c r="AL38" s="403"/>
      <c r="AM38" s="404"/>
      <c r="AN38" s="1008"/>
      <c r="AP38" s="1410"/>
      <c r="AQ38" s="1410"/>
    </row>
    <row r="39" spans="1:43" ht="30" customHeight="1">
      <c r="A39" s="972"/>
      <c r="B39" s="453" t="s">
        <v>436</v>
      </c>
      <c r="C39" s="456"/>
      <c r="D39" s="425"/>
      <c r="E39" s="388">
        <f>D39</f>
        <v>0</v>
      </c>
      <c r="F39" s="387"/>
      <c r="G39" s="340"/>
      <c r="H39" s="340">
        <f>SUM(D39,F39)</f>
        <v>0</v>
      </c>
      <c r="I39" s="426">
        <f>H39</f>
        <v>0</v>
      </c>
      <c r="J39" s="425"/>
      <c r="K39" s="387"/>
      <c r="L39" s="427">
        <f>SUM(J39:K39)</f>
        <v>0</v>
      </c>
      <c r="M39" s="391">
        <f>SUM(E39,J39)</f>
        <v>0</v>
      </c>
      <c r="N39" s="340">
        <f>SUM(F39,K39)</f>
        <v>0</v>
      </c>
      <c r="O39" s="392">
        <f>SUM(M39:N39)</f>
        <v>0</v>
      </c>
      <c r="P39" s="271"/>
      <c r="Q39" s="375"/>
      <c r="R39" s="290"/>
      <c r="S39" s="291"/>
      <c r="T39" s="271"/>
      <c r="U39" s="431">
        <f>O39</f>
        <v>0</v>
      </c>
      <c r="V39" s="1004"/>
      <c r="W39" s="292"/>
      <c r="X39" s="395">
        <f>VLOOKUP($AP39,Early_Stats_Last_Year,VLOOKUP(Background!$C$2,Inst_Tables,15,FALSE),FALSE)</f>
        <v>0</v>
      </c>
      <c r="Y39" s="396">
        <f>VLOOKUP($AP39,Early_Stats_Last_Year,VLOOKUP(Background!$C$2,Inst_Tables,16,FALSE),FALSE)</f>
        <v>0</v>
      </c>
      <c r="Z39" s="1458">
        <f>SUM(X39:Y39)</f>
        <v>0</v>
      </c>
      <c r="AA39" s="1557"/>
      <c r="AB39" s="397" t="str">
        <f>IF(X39&gt;0,(I39-X39)/X39,"")</f>
        <v/>
      </c>
      <c r="AC39" s="398" t="str">
        <f>IF(Y39&gt;0,(L39-Y39)/Y39,"")</f>
        <v/>
      </c>
      <c r="AD39" s="1460" t="str">
        <f>IF(Z39&gt;0,(O39-Z39)/Z39,"")</f>
        <v/>
      </c>
      <c r="AE39" s="1462"/>
      <c r="AF39" s="1007"/>
      <c r="AG39" s="293"/>
      <c r="AH39" s="399">
        <f>VLOOKUP($AQ39,Final_Figures_Last_Year,VLOOKUP(Background!$C$2,Inst_Tables,15,FALSE),FALSE)</f>
        <v>0</v>
      </c>
      <c r="AI39" s="400">
        <f>VLOOKUP($AQ39,Final_Figures_Last_Year,VLOOKUP(Background!$C$2,Inst_Tables,16,FALSE),FALSE)</f>
        <v>0</v>
      </c>
      <c r="AJ39" s="401">
        <f>SUM(AH39:AI39)</f>
        <v>0</v>
      </c>
      <c r="AK39" s="402" t="str">
        <f>IF(AH39&gt;0,(I39-AH39)/AH39,"")</f>
        <v/>
      </c>
      <c r="AL39" s="403" t="str">
        <f>IF(AI39&gt;0,(L39-AI39)/AI39,"")</f>
        <v/>
      </c>
      <c r="AM39" s="404" t="str">
        <f>IF(AJ39&gt;0,(O39-AJ39)/AJ39,"")</f>
        <v/>
      </c>
      <c r="AN39" s="1008"/>
      <c r="AP39" s="1410">
        <v>15</v>
      </c>
      <c r="AQ39" s="1410">
        <v>15</v>
      </c>
    </row>
    <row r="40" spans="1:43" ht="30" customHeight="1">
      <c r="A40" s="972"/>
      <c r="B40" s="453" t="s">
        <v>437</v>
      </c>
      <c r="C40" s="456"/>
      <c r="D40" s="425">
        <v>87</v>
      </c>
      <c r="E40" s="388">
        <f>D40</f>
        <v>87</v>
      </c>
      <c r="F40" s="387"/>
      <c r="G40" s="340"/>
      <c r="H40" s="340">
        <f>SUM(D40,F40)</f>
        <v>87</v>
      </c>
      <c r="I40" s="426">
        <f>H40</f>
        <v>87</v>
      </c>
      <c r="J40" s="425"/>
      <c r="K40" s="387"/>
      <c r="L40" s="427">
        <f>SUM(J40:K40)</f>
        <v>0</v>
      </c>
      <c r="M40" s="391">
        <f>SUM(E40,J40)</f>
        <v>87</v>
      </c>
      <c r="N40" s="340">
        <f>SUM(F40,K40)</f>
        <v>0</v>
      </c>
      <c r="O40" s="392">
        <f>SUM(M40:N40)</f>
        <v>87</v>
      </c>
      <c r="P40" s="271"/>
      <c r="Q40" s="375"/>
      <c r="R40" s="290"/>
      <c r="S40" s="291"/>
      <c r="T40" s="271"/>
      <c r="U40" s="431">
        <f>O40</f>
        <v>87</v>
      </c>
      <c r="V40" s="1004"/>
      <c r="W40" s="292"/>
      <c r="X40" s="395">
        <f>VLOOKUP($AP40,Early_Stats_Last_Year,VLOOKUP(Background!$C$2,Inst_Tables,15,FALSE),FALSE)</f>
        <v>41</v>
      </c>
      <c r="Y40" s="396">
        <f>VLOOKUP($AP40,Early_Stats_Last_Year,VLOOKUP(Background!$C$2,Inst_Tables,16,FALSE),FALSE)</f>
        <v>0</v>
      </c>
      <c r="Z40" s="1458">
        <f>SUM(X40:Y40)</f>
        <v>41</v>
      </c>
      <c r="AA40" s="1456"/>
      <c r="AB40" s="397">
        <f>IF(X40&gt;0,(I40-X40)/X40,"")</f>
        <v>1.1219512195121952</v>
      </c>
      <c r="AC40" s="398" t="str">
        <f>IF(Y40&gt;0,(L40-Y40)/Y40,"")</f>
        <v/>
      </c>
      <c r="AD40" s="1460">
        <f>IF(Z40&gt;0,(O40-Z40)/Z40,"")</f>
        <v>1.1219512195121952</v>
      </c>
      <c r="AE40" s="1462"/>
      <c r="AF40" s="1007"/>
      <c r="AG40" s="293"/>
      <c r="AH40" s="473"/>
      <c r="AI40" s="474"/>
      <c r="AJ40" s="475"/>
      <c r="AK40" s="476"/>
      <c r="AL40" s="477"/>
      <c r="AM40" s="478"/>
      <c r="AN40" s="1008"/>
      <c r="AP40" s="1410">
        <v>16</v>
      </c>
      <c r="AQ40" s="1547"/>
    </row>
    <row r="41" spans="1:43" ht="30" customHeight="1">
      <c r="A41" s="972"/>
      <c r="B41" s="369" t="s">
        <v>91</v>
      </c>
      <c r="C41" s="479"/>
      <c r="D41" s="480"/>
      <c r="E41" s="481"/>
      <c r="F41" s="482"/>
      <c r="G41" s="483"/>
      <c r="H41" s="483"/>
      <c r="I41" s="484"/>
      <c r="J41" s="480"/>
      <c r="K41" s="482"/>
      <c r="L41" s="484"/>
      <c r="M41" s="483"/>
      <c r="N41" s="483"/>
      <c r="O41" s="484"/>
      <c r="P41" s="271"/>
      <c r="Q41" s="375"/>
      <c r="R41" s="290"/>
      <c r="S41" s="376"/>
      <c r="T41" s="271"/>
      <c r="U41" s="345"/>
      <c r="V41" s="1004"/>
      <c r="W41" s="292"/>
      <c r="X41" s="485"/>
      <c r="Y41" s="486"/>
      <c r="Z41" s="486"/>
      <c r="AA41" s="380"/>
      <c r="AB41" s="379"/>
      <c r="AC41" s="378"/>
      <c r="AD41" s="503"/>
      <c r="AE41" s="423"/>
      <c r="AF41" s="1007"/>
      <c r="AG41" s="293"/>
      <c r="AH41" s="487"/>
      <c r="AI41" s="488"/>
      <c r="AJ41" s="383"/>
      <c r="AK41" s="384"/>
      <c r="AL41" s="382"/>
      <c r="AM41" s="294"/>
      <c r="AN41" s="1008"/>
      <c r="AP41" s="1411"/>
      <c r="AQ41" s="1411"/>
    </row>
    <row r="42" spans="1:43" ht="30" customHeight="1">
      <c r="A42" s="972"/>
      <c r="B42" s="385" t="s">
        <v>183</v>
      </c>
      <c r="C42" s="389">
        <v>52.5</v>
      </c>
      <c r="D42" s="425">
        <v>4730.47</v>
      </c>
      <c r="E42" s="388">
        <f>SUM(C42:D42)</f>
        <v>4782.97</v>
      </c>
      <c r="F42" s="387"/>
      <c r="G42" s="340">
        <f t="shared" ref="G42:G43" si="10">C42</f>
        <v>52.5</v>
      </c>
      <c r="H42" s="340">
        <f>SUM(D42,F42)</f>
        <v>4730.47</v>
      </c>
      <c r="I42" s="426">
        <f>SUM(G42:H42)</f>
        <v>4782.97</v>
      </c>
      <c r="J42" s="389">
        <v>21.16</v>
      </c>
      <c r="K42" s="387">
        <v>5.3</v>
      </c>
      <c r="L42" s="427">
        <f>SUM(J42:K42)</f>
        <v>26.46</v>
      </c>
      <c r="M42" s="391">
        <f>SUM(E42,J42)</f>
        <v>4804.13</v>
      </c>
      <c r="N42" s="340">
        <f>SUM(F42,K42)</f>
        <v>5.3</v>
      </c>
      <c r="O42" s="392">
        <f>SUM(M42:N42)</f>
        <v>4809.43</v>
      </c>
      <c r="P42" s="271"/>
      <c r="Q42" s="375"/>
      <c r="R42" s="290"/>
      <c r="S42" s="376"/>
      <c r="T42" s="271"/>
      <c r="U42" s="345"/>
      <c r="V42" s="1004"/>
      <c r="W42" s="292"/>
      <c r="X42" s="395">
        <f>VLOOKUP($AP42,Early_Stats_Last_Year,VLOOKUP(Background!$C$2,Inst_Tables,15,FALSE),FALSE)</f>
        <v>5090.814000000003</v>
      </c>
      <c r="Y42" s="396">
        <f>VLOOKUP($AP42,Early_Stats_Last_Year,VLOOKUP(Background!$C$2,Inst_Tables,16,FALSE),FALSE)</f>
        <v>23.009</v>
      </c>
      <c r="Z42" s="1458">
        <f>SUM(X42:Y42)</f>
        <v>5113.823000000003</v>
      </c>
      <c r="AA42" s="1557"/>
      <c r="AB42" s="397">
        <f>IF(X42&gt;0,(I42-X42)/X42,"")</f>
        <v>-6.0470486645161775E-2</v>
      </c>
      <c r="AC42" s="398">
        <f>IF(Y42&gt;0,(L42-Y42)/Y42,"")</f>
        <v>0.14998478856099789</v>
      </c>
      <c r="AD42" s="1460">
        <f>IF(Z42&gt;0,(O42-Z42)/Z42,"")</f>
        <v>-5.9523569744201664E-2</v>
      </c>
      <c r="AE42" s="1462"/>
      <c r="AF42" s="1007"/>
      <c r="AG42" s="293"/>
      <c r="AH42" s="399">
        <f>VLOOKUP($AQ42,Final_Figures_Last_Year,VLOOKUP(Background!$C$2,Inst_Tables,15,FALSE),FALSE)</f>
        <v>5206.4210000000103</v>
      </c>
      <c r="AI42" s="400">
        <f>VLOOKUP($AQ42,Final_Figures_Last_Year,VLOOKUP(Background!$C$2,Inst_Tables,16,FALSE),FALSE)</f>
        <v>31.322099999999999</v>
      </c>
      <c r="AJ42" s="401">
        <f>SUM(AH42:AI42)</f>
        <v>5237.7431000000106</v>
      </c>
      <c r="AK42" s="402">
        <f>IF(AH42&gt;0,(I42-AH42)/AH42,"")</f>
        <v>-8.1332454674719779E-2</v>
      </c>
      <c r="AL42" s="403">
        <f>IF(AI42&gt;0,(L42-AI42)/AI42,"")</f>
        <v>-0.15522905552309704</v>
      </c>
      <c r="AM42" s="404">
        <f>IF(AJ42&gt;0,(O42-AJ42)/AJ42,"")</f>
        <v>-8.1774361938448156E-2</v>
      </c>
      <c r="AN42" s="1008"/>
      <c r="AP42" s="1410">
        <v>17</v>
      </c>
      <c r="AQ42" s="1410">
        <v>16</v>
      </c>
    </row>
    <row r="43" spans="1:43" ht="30" customHeight="1">
      <c r="A43" s="972"/>
      <c r="B43" s="385" t="s">
        <v>184</v>
      </c>
      <c r="C43" s="389">
        <v>65</v>
      </c>
      <c r="D43" s="425">
        <v>6174.9</v>
      </c>
      <c r="E43" s="388">
        <f>SUM(C43:D43)</f>
        <v>6239.9</v>
      </c>
      <c r="F43" s="387"/>
      <c r="G43" s="340">
        <f t="shared" si="10"/>
        <v>65</v>
      </c>
      <c r="H43" s="340">
        <f>SUM(D43,F43)</f>
        <v>6174.9</v>
      </c>
      <c r="I43" s="426">
        <f>SUM(G43:H43)</f>
        <v>6239.9</v>
      </c>
      <c r="J43" s="389">
        <v>70.27</v>
      </c>
      <c r="K43" s="387"/>
      <c r="L43" s="427">
        <f>SUM(J43:K43)</f>
        <v>70.27</v>
      </c>
      <c r="M43" s="391">
        <f>SUM(E43,J43)</f>
        <v>6310.17</v>
      </c>
      <c r="N43" s="340">
        <f>SUM(F43,K43)</f>
        <v>0</v>
      </c>
      <c r="O43" s="392">
        <f>SUM(M43:N43)</f>
        <v>6310.17</v>
      </c>
      <c r="P43" s="271"/>
      <c r="Q43" s="375"/>
      <c r="R43" s="290"/>
      <c r="S43" s="376"/>
      <c r="T43" s="271"/>
      <c r="U43" s="345"/>
      <c r="V43" s="1004"/>
      <c r="W43" s="292"/>
      <c r="X43" s="395">
        <f>VLOOKUP($AP43,Early_Stats_Last_Year,VLOOKUP(Background!$C$2,Inst_Tables,15,FALSE),FALSE)</f>
        <v>6413.5199999999995</v>
      </c>
      <c r="Y43" s="396">
        <f>VLOOKUP($AP43,Early_Stats_Last_Year,VLOOKUP(Background!$C$2,Inst_Tables,16,FALSE),FALSE)</f>
        <v>96.671000000000006</v>
      </c>
      <c r="Z43" s="1458">
        <f>SUM(X43:Y43)</f>
        <v>6510.1909999999998</v>
      </c>
      <c r="AA43" s="1557"/>
      <c r="AB43" s="397">
        <f>IF(X43&gt;0,(SUM(I40,I43)-X43)/X43,"")</f>
        <v>-1.3505843904751198E-2</v>
      </c>
      <c r="AC43" s="398">
        <f>IF(Y43&gt;0,(SUM(L40,L43)-Y43)/Y43,"")</f>
        <v>-0.27310155062014468</v>
      </c>
      <c r="AD43" s="1460">
        <f>IF(Z43&gt;0,(SUM(O40,O43)-Z43)/Z43,"")</f>
        <v>-1.7360627361009798E-2</v>
      </c>
      <c r="AE43" s="1462"/>
      <c r="AF43" s="1007"/>
      <c r="AG43" s="293"/>
      <c r="AH43" s="399">
        <f>VLOOKUP($AQ43,Final_Figures_Last_Year,VLOOKUP(Background!$C$2,Inst_Tables,15,FALSE),FALSE)</f>
        <v>6852.99999999999</v>
      </c>
      <c r="AI43" s="400">
        <f>VLOOKUP($AQ43,Final_Figures_Last_Year,VLOOKUP(Background!$C$2,Inst_Tables,16,FALSE),FALSE)</f>
        <v>116.8879</v>
      </c>
      <c r="AJ43" s="401">
        <f>SUM(AH43:AI43)</f>
        <v>6969.8878999999897</v>
      </c>
      <c r="AK43" s="402">
        <f>IF(AH43&gt;0,(SUM(I40,I43)-AH43)/AH43,"")</f>
        <v>-7.6769298117611434E-2</v>
      </c>
      <c r="AL43" s="403">
        <f>IF(AI43&gt;0,(SUM(L40,L43)-AI43)/AI43,"")</f>
        <v>-0.39882571249889859</v>
      </c>
      <c r="AM43" s="404">
        <f>IF(AJ43&gt;0,(SUM(O40,O43)-AJ43)/AJ43,"")</f>
        <v>-8.2170317258616232E-2</v>
      </c>
      <c r="AN43" s="1008"/>
      <c r="AP43" s="1410">
        <v>18</v>
      </c>
      <c r="AQ43" s="1410">
        <v>17</v>
      </c>
    </row>
    <row r="44" spans="1:43" ht="35.1" customHeight="1" thickBot="1">
      <c r="A44" s="972"/>
      <c r="B44" s="489" t="s">
        <v>2</v>
      </c>
      <c r="C44" s="406">
        <f>SUM(C29:C31,C34:C37,C42:C43)</f>
        <v>274.5</v>
      </c>
      <c r="D44" s="407">
        <f>SUM(D29:D32,D34:D37,D39:D40,D42:D43)</f>
        <v>12753.369999999999</v>
      </c>
      <c r="E44" s="410">
        <f>SUM(E29:E32,E34:E37,E39:E40,E42:E43)</f>
        <v>13027.869999999999</v>
      </c>
      <c r="F44" s="407">
        <f>SUM(F29:F32,F34:F37,F39:F40,F42:F43)</f>
        <v>0</v>
      </c>
      <c r="G44" s="407">
        <f>SUM(G29:G31,G34:G37,G42:G43)</f>
        <v>274.5</v>
      </c>
      <c r="H44" s="407">
        <f>SUM(H29:H32,H34:H37,H39:H40,H42:H43)</f>
        <v>12753.369999999999</v>
      </c>
      <c r="I44" s="409">
        <f t="shared" ref="I44" si="11">SUM(I29:I32,I34:I37,I39:I40,I42:I43)</f>
        <v>13027.869999999999</v>
      </c>
      <c r="J44" s="406">
        <f t="shared" ref="J44:O44" si="12">SUM(J29:J32,J34:J37,J39:J40,J42:J43)</f>
        <v>100.91</v>
      </c>
      <c r="K44" s="407">
        <f t="shared" si="12"/>
        <v>5.3</v>
      </c>
      <c r="L44" s="410">
        <f t="shared" si="12"/>
        <v>106.21</v>
      </c>
      <c r="M44" s="406">
        <f t="shared" si="12"/>
        <v>13128.78</v>
      </c>
      <c r="N44" s="407">
        <f t="shared" si="12"/>
        <v>5.3</v>
      </c>
      <c r="O44" s="409">
        <f t="shared" si="12"/>
        <v>13134.08</v>
      </c>
      <c r="P44" s="271"/>
      <c r="Q44" s="411"/>
      <c r="R44" s="412"/>
      <c r="S44" s="413"/>
      <c r="T44" s="271"/>
      <c r="U44" s="414"/>
      <c r="V44" s="1004"/>
      <c r="W44" s="292"/>
      <c r="X44" s="490">
        <f>SUM(X29:X32,X34:X37,X39:X40,X42:X43)</f>
        <v>13538.334000000003</v>
      </c>
      <c r="Y44" s="415">
        <f>SUM(Y29:Y32,Y34:Y37,Y39:Y40,Y42:Y43)</f>
        <v>126.88000000000001</v>
      </c>
      <c r="Z44" s="415">
        <f>SUM(Z29:Z32,Z34:Z37,Z39,Z42:Z43)</f>
        <v>13624.214000000004</v>
      </c>
      <c r="AA44" s="1455"/>
      <c r="AB44" s="416">
        <f>IF(X44&gt;0,(I44-X44)/X44,"")</f>
        <v>-3.770508247174309E-2</v>
      </c>
      <c r="AC44" s="417">
        <f>IF(Y44&gt;0,(L44-Y44)/Y44,"")</f>
        <v>-0.16290983606557388</v>
      </c>
      <c r="AD44" s="1461">
        <f>IF(Z44&gt;0,(O44-Z44)/Z44,"")</f>
        <v>-3.5975212955404512E-2</v>
      </c>
      <c r="AE44" s="1463"/>
      <c r="AF44" s="1007"/>
      <c r="AG44" s="293"/>
      <c r="AH44" s="491">
        <f>SUM(AH29:AH32,AH34:AH37,AH39,AH42:AH43)</f>
        <v>14217.505000000001</v>
      </c>
      <c r="AI44" s="418">
        <f>SUM(AI29:AI32,AI34:AI37,AI39,AI42:AI43)</f>
        <v>163.86</v>
      </c>
      <c r="AJ44" s="419">
        <f>SUM(AJ29:AJ32,AJ34:AJ37,AJ39,AJ42:AJ43)</f>
        <v>14381.365000000002</v>
      </c>
      <c r="AK44" s="420">
        <f>IF(AH44&gt;0,(I44-AH44)/AH44,"")</f>
        <v>-8.3673963891695624E-2</v>
      </c>
      <c r="AL44" s="421">
        <f>IF(AI44&gt;0,(L44-AI44)/AI44,"")</f>
        <v>-0.35182472842670581</v>
      </c>
      <c r="AM44" s="422">
        <f>IF(AJ44&gt;0,(O44-AJ44)/AJ44,"")</f>
        <v>-8.672924997036105E-2</v>
      </c>
      <c r="AN44" s="1008"/>
      <c r="AP44" s="1412"/>
      <c r="AQ44" s="1412"/>
    </row>
    <row r="45" spans="1:43" ht="35.1" customHeight="1" thickBot="1">
      <c r="A45" s="972"/>
      <c r="B45" s="329" t="s">
        <v>97</v>
      </c>
      <c r="C45" s="492"/>
      <c r="D45" s="493"/>
      <c r="E45" s="494">
        <f>SUM(E13,E19,E25,E44)</f>
        <v>15473.869999999999</v>
      </c>
      <c r="F45" s="494">
        <f>SUM(F13,F19,F25,F44)</f>
        <v>63.1</v>
      </c>
      <c r="G45" s="495"/>
      <c r="H45" s="495"/>
      <c r="I45" s="341">
        <f t="shared" ref="I45:O45" si="13">SUM(I13,I19,I25,I44)</f>
        <v>15536.97</v>
      </c>
      <c r="J45" s="496">
        <f t="shared" si="13"/>
        <v>855.23</v>
      </c>
      <c r="K45" s="497">
        <f t="shared" si="13"/>
        <v>91</v>
      </c>
      <c r="L45" s="494">
        <f t="shared" si="13"/>
        <v>946.23</v>
      </c>
      <c r="M45" s="498">
        <f t="shared" si="13"/>
        <v>16329.1</v>
      </c>
      <c r="N45" s="497">
        <f t="shared" si="13"/>
        <v>154.10000000000002</v>
      </c>
      <c r="O45" s="341">
        <f t="shared" si="13"/>
        <v>16483.2</v>
      </c>
      <c r="P45" s="271"/>
      <c r="Q45" s="411"/>
      <c r="R45" s="412"/>
      <c r="S45" s="413"/>
      <c r="T45" s="271"/>
      <c r="U45" s="414"/>
      <c r="V45" s="1004"/>
      <c r="W45" s="292"/>
      <c r="X45" s="499">
        <f>SUM(X13,X19,X25,X44)</f>
        <v>15971.484000000002</v>
      </c>
      <c r="Y45" s="500">
        <f>SUM(Y13,Y19,Y25,Y44)</f>
        <v>901.71133300000008</v>
      </c>
      <c r="Z45" s="500">
        <f>SUM(Z13,Z19,Z25,Z44)</f>
        <v>16832.195333000003</v>
      </c>
      <c r="AA45" s="1455"/>
      <c r="AB45" s="416">
        <f>IF(X45&gt;0,(I45-X45)/X45,"")</f>
        <v>-2.7205612202347809E-2</v>
      </c>
      <c r="AC45" s="417">
        <f>IF(Y45&gt;0,(L45-Y45)/Y45,"")</f>
        <v>4.9371306947963059E-2</v>
      </c>
      <c r="AD45" s="1461">
        <f>IF(Z45&gt;0,(O45-Z45)/Z45,"")</f>
        <v>-2.0733797707051745E-2</v>
      </c>
      <c r="AE45" s="1563"/>
      <c r="AF45" s="1007"/>
      <c r="AG45" s="293"/>
      <c r="AH45" s="501">
        <f>SUM(AH13,AH19,AH25,AH44)</f>
        <v>16634.505000000001</v>
      </c>
      <c r="AI45" s="502">
        <f>SUM(AI13,AI19,AI25,AI44)</f>
        <v>871.93099700000005</v>
      </c>
      <c r="AJ45" s="350">
        <f>SUM(AJ13,AJ19,AJ25,AJ44)</f>
        <v>17506.435997</v>
      </c>
      <c r="AK45" s="420">
        <f>IF(AH45&gt;0,(I45-AH45)/AH45,"")</f>
        <v>-6.597942048771524E-2</v>
      </c>
      <c r="AL45" s="421">
        <f>IF(AI45&gt;0,(L45-AI45)/AI45,"")</f>
        <v>8.5212021657259607E-2</v>
      </c>
      <c r="AM45" s="422">
        <f>IF(AJ45&gt;0,(O45-AJ45)/AJ45,"")</f>
        <v>-5.8449132489065574E-2</v>
      </c>
      <c r="AN45" s="1008"/>
      <c r="AP45" s="1407"/>
      <c r="AQ45" s="1407"/>
    </row>
    <row r="46" spans="1:43">
      <c r="A46" s="979"/>
      <c r="B46" s="271"/>
      <c r="C46" s="271"/>
      <c r="D46" s="271"/>
      <c r="E46" s="271"/>
      <c r="F46" s="271"/>
      <c r="G46" s="271"/>
      <c r="H46" s="271"/>
      <c r="I46" s="271"/>
      <c r="J46" s="271"/>
      <c r="K46" s="271"/>
      <c r="L46" s="271"/>
      <c r="M46" s="271"/>
      <c r="N46" s="271"/>
      <c r="O46" s="271"/>
      <c r="P46" s="271"/>
      <c r="Q46" s="271"/>
      <c r="R46" s="271"/>
      <c r="S46" s="271"/>
      <c r="T46" s="271"/>
      <c r="U46" s="271"/>
      <c r="V46" s="1004"/>
      <c r="W46" s="292"/>
      <c r="X46" s="503"/>
      <c r="Y46" s="503"/>
      <c r="Z46" s="503"/>
      <c r="AA46" s="503"/>
      <c r="AB46" s="503"/>
      <c r="AC46" s="503"/>
      <c r="AD46" s="503"/>
      <c r="AE46" s="503"/>
      <c r="AF46" s="1007"/>
      <c r="AG46" s="293"/>
      <c r="AH46" s="293"/>
      <c r="AI46" s="293"/>
      <c r="AJ46" s="293"/>
      <c r="AK46" s="293"/>
      <c r="AL46" s="293"/>
      <c r="AM46" s="293"/>
      <c r="AN46" s="1008"/>
      <c r="AP46" s="1407"/>
      <c r="AQ46" s="1407"/>
    </row>
    <row r="47" spans="1:43">
      <c r="A47" s="979"/>
      <c r="B47" s="504"/>
      <c r="C47" s="1282" t="s">
        <v>338</v>
      </c>
      <c r="D47" s="271"/>
      <c r="E47" s="271"/>
      <c r="F47" s="271"/>
      <c r="G47" s="271"/>
      <c r="H47" s="271"/>
      <c r="I47" s="271"/>
      <c r="J47" s="271"/>
      <c r="K47" s="271"/>
      <c r="L47" s="271"/>
      <c r="M47" s="271"/>
      <c r="N47" s="271"/>
      <c r="O47" s="271"/>
      <c r="P47" s="271"/>
      <c r="Q47" s="271"/>
      <c r="R47" s="271"/>
      <c r="S47" s="271"/>
      <c r="T47" s="271"/>
      <c r="U47" s="271"/>
      <c r="V47" s="1004"/>
      <c r="W47" s="292"/>
      <c r="X47" s="1556"/>
      <c r="Y47" s="1556"/>
      <c r="Z47" s="505"/>
      <c r="AA47" s="505"/>
      <c r="AB47" s="503"/>
      <c r="AC47" s="503"/>
      <c r="AD47" s="503"/>
      <c r="AE47" s="503"/>
      <c r="AF47" s="1007"/>
      <c r="AG47" s="293"/>
      <c r="AH47" s="506"/>
      <c r="AI47" s="506"/>
      <c r="AJ47" s="506"/>
      <c r="AK47" s="293"/>
      <c r="AL47" s="293"/>
      <c r="AM47" s="293"/>
      <c r="AN47" s="1008"/>
      <c r="AP47" s="1413">
        <v>19</v>
      </c>
      <c r="AQ47" s="1413">
        <v>18</v>
      </c>
    </row>
    <row r="48" spans="1:43">
      <c r="A48" s="979"/>
      <c r="B48" s="504"/>
      <c r="C48" s="1282" t="s">
        <v>428</v>
      </c>
      <c r="D48" s="271"/>
      <c r="E48" s="271"/>
      <c r="F48" s="271"/>
      <c r="G48" s="271"/>
      <c r="H48" s="271"/>
      <c r="I48" s="271"/>
      <c r="J48" s="271"/>
      <c r="K48" s="271"/>
      <c r="L48" s="271"/>
      <c r="M48" s="271"/>
      <c r="N48" s="271"/>
      <c r="O48" s="271"/>
      <c r="P48" s="271"/>
      <c r="Q48" s="271"/>
      <c r="R48" s="271"/>
      <c r="S48" s="271"/>
      <c r="T48" s="271"/>
      <c r="U48" s="271"/>
      <c r="V48" s="1004"/>
      <c r="W48" s="292"/>
      <c r="X48" s="505"/>
      <c r="Y48" s="505"/>
      <c r="Z48" s="505"/>
      <c r="AA48" s="505"/>
      <c r="AB48" s="503"/>
      <c r="AC48" s="503"/>
      <c r="AD48" s="503"/>
      <c r="AE48" s="503"/>
      <c r="AF48" s="1007"/>
      <c r="AG48" s="293"/>
      <c r="AH48" s="506"/>
      <c r="AI48" s="506"/>
      <c r="AJ48" s="506"/>
      <c r="AK48" s="293"/>
      <c r="AL48" s="293"/>
      <c r="AM48" s="293"/>
      <c r="AN48" s="1008"/>
      <c r="AP48" s="1413"/>
    </row>
    <row r="49" spans="1:40" ht="24.95" customHeight="1">
      <c r="A49" s="979"/>
      <c r="B49" s="271"/>
      <c r="C49" s="1283" t="s">
        <v>98</v>
      </c>
      <c r="D49" s="271"/>
      <c r="E49" s="271"/>
      <c r="F49" s="271"/>
      <c r="G49" s="271"/>
      <c r="H49" s="271"/>
      <c r="I49" s="271"/>
      <c r="J49" s="271"/>
      <c r="K49" s="271"/>
      <c r="L49" s="271"/>
      <c r="M49" s="271"/>
      <c r="N49" s="271"/>
      <c r="O49" s="271"/>
      <c r="P49" s="271"/>
      <c r="Q49" s="271"/>
      <c r="R49" s="271"/>
      <c r="S49" s="271"/>
      <c r="T49" s="271"/>
      <c r="U49" s="271"/>
      <c r="V49" s="1004"/>
      <c r="W49" s="292"/>
      <c r="X49" s="507"/>
      <c r="Y49" s="507"/>
      <c r="Z49" s="507"/>
      <c r="AA49" s="507"/>
      <c r="AB49" s="503"/>
      <c r="AC49" s="503"/>
      <c r="AD49" s="503"/>
      <c r="AE49" s="503"/>
      <c r="AF49" s="1007"/>
      <c r="AG49" s="293"/>
      <c r="AH49" s="293"/>
      <c r="AI49" s="293"/>
      <c r="AJ49" s="293"/>
      <c r="AK49" s="293"/>
      <c r="AL49" s="293"/>
      <c r="AM49" s="293"/>
      <c r="AN49" s="1008"/>
    </row>
    <row r="50" spans="1:40">
      <c r="A50" s="980"/>
      <c r="B50" s="1010"/>
      <c r="C50" s="1284"/>
      <c r="D50" s="1010"/>
      <c r="E50" s="1010"/>
      <c r="F50" s="1010"/>
      <c r="G50" s="1010"/>
      <c r="H50" s="1010"/>
      <c r="I50" s="1010"/>
      <c r="J50" s="1010"/>
      <c r="K50" s="1010"/>
      <c r="L50" s="1010"/>
      <c r="M50" s="1010"/>
      <c r="N50" s="1010"/>
      <c r="O50" s="1010"/>
      <c r="P50" s="1010"/>
      <c r="Q50" s="1010"/>
      <c r="R50" s="1010"/>
      <c r="S50" s="1010"/>
      <c r="T50" s="1010"/>
      <c r="U50" s="1010"/>
      <c r="V50" s="1011"/>
      <c r="W50" s="1012"/>
      <c r="X50" s="1013"/>
      <c r="Y50" s="1013"/>
      <c r="Z50" s="1013"/>
      <c r="AA50" s="1448"/>
      <c r="AB50" s="1013"/>
      <c r="AC50" s="1013"/>
      <c r="AD50" s="1013"/>
      <c r="AE50" s="1448"/>
      <c r="AF50" s="1014"/>
      <c r="AG50" s="1015"/>
      <c r="AH50" s="1015"/>
      <c r="AI50" s="1015"/>
      <c r="AJ50" s="1015"/>
      <c r="AK50" s="1015"/>
      <c r="AL50" s="1015"/>
      <c r="AM50" s="1015"/>
      <c r="AN50" s="1016"/>
    </row>
    <row r="53" spans="1:40" ht="18.75" customHeight="1"/>
  </sheetData>
  <sheetProtection password="E23E" sheet="1" objects="1" scenarios="1"/>
  <mergeCells count="31">
    <mergeCell ref="C3:E3"/>
    <mergeCell ref="X7:X9"/>
    <mergeCell ref="Y7:Y9"/>
    <mergeCell ref="X6:Z6"/>
    <mergeCell ref="U6:U9"/>
    <mergeCell ref="C7:I7"/>
    <mergeCell ref="J7:L7"/>
    <mergeCell ref="M8:M9"/>
    <mergeCell ref="Q8:Q9"/>
    <mergeCell ref="AH6:AJ6"/>
    <mergeCell ref="AK6:AM6"/>
    <mergeCell ref="AH7:AH9"/>
    <mergeCell ref="AI7:AI9"/>
    <mergeCell ref="AK7:AK9"/>
    <mergeCell ref="AL7:AL9"/>
    <mergeCell ref="AQ6:AQ9"/>
    <mergeCell ref="AH4:AM4"/>
    <mergeCell ref="C6:O6"/>
    <mergeCell ref="C8:E8"/>
    <mergeCell ref="G8:I8"/>
    <mergeCell ref="Q6:S7"/>
    <mergeCell ref="M7:O7"/>
    <mergeCell ref="AA6:AA9"/>
    <mergeCell ref="AB6:AE6"/>
    <mergeCell ref="X4:AE4"/>
    <mergeCell ref="AB8:AB9"/>
    <mergeCell ref="AC8:AC9"/>
    <mergeCell ref="AB7:AD7"/>
    <mergeCell ref="AE7:AE9"/>
    <mergeCell ref="AP6:AP9"/>
    <mergeCell ref="J8:J9"/>
  </mergeCells>
  <dataValidations count="1">
    <dataValidation allowBlank="1" sqref="B6 I1:I3 K8:L13 X1:X4 AO1:EB3 B9 Q1:S3 T7:T12 T1:T4 R4:S5 C6:C12 I4:L4 K1:L3 D9:E12 M1:N4 H9:I12 M10:M12 X47:Y48 J45:O45 T5:V6 V1:V4 Q4:Q6 AE7 X6:X7 AO4:DY6 J10:J13 Q8 R8:S11 AB6:AB8 AB5:AE5 AC8:AD8 J7:J8 AH4 M7:M8 AL7:AM7 X10:AE45 AI7:AJ7 AH6:AH7 AK6:AK7 AH5:AM5 N8:P12 Q12:S12 Q10:Q11 U10:U45 AN4:AN45 AF4:AG45 AP10:AQ12 AO7:AO45 I5:P5 W1:W45 V7:V45 M13:O44 J14:L44 B13:I45 P13:T45 F8:G12 AH10:AM45 Y7:Z7 AR7:DZ45 AH48:AI48 AH47:AJ47"/>
  </dataValidations>
  <pageMargins left="0.15748031496062992" right="0.15748031496062992" top="0.15748031496062992" bottom="0.15748031496062992" header="0.15748031496062992" footer="0.15748031496062992"/>
  <pageSetup paperSize="9" scale="50" fitToWidth="2" orientation="landscape" r:id="rId1"/>
  <headerFooter alignWithMargins="0"/>
  <colBreaks count="1" manualBreakCount="1">
    <brk id="22"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7"/>
  <sheetViews>
    <sheetView zoomScale="75" zoomScaleNormal="75" workbookViewId="0"/>
  </sheetViews>
  <sheetFormatPr defaultColWidth="9.140625" defaultRowHeight="15"/>
  <cols>
    <col min="1" max="1" width="2.7109375" style="1405" customWidth="1"/>
    <col min="2" max="2" width="40.7109375" style="1405" customWidth="1"/>
    <col min="3" max="5" width="12.7109375" style="1405" customWidth="1"/>
    <col min="6" max="12" width="11.7109375" style="1405" customWidth="1"/>
    <col min="13" max="14" width="4.7109375" style="1419" customWidth="1"/>
    <col min="15" max="15" width="25.28515625" style="1405" customWidth="1"/>
    <col min="16" max="16" width="34.42578125" style="1405" customWidth="1"/>
    <col min="17" max="18" width="12.7109375" style="1405" customWidth="1"/>
    <col min="19" max="19" width="25.7109375" style="1405" customWidth="1"/>
    <col min="20" max="20" width="6" style="1405" customWidth="1"/>
    <col min="21" max="21" width="10.5703125" style="1405" customWidth="1"/>
    <col min="22" max="28" width="11.7109375" style="1405" hidden="1" customWidth="1"/>
    <col min="29" max="29" width="9.140625" style="1405" hidden="1" customWidth="1"/>
    <col min="30" max="30" width="11.7109375" style="1405" hidden="1" customWidth="1"/>
    <col min="31" max="34" width="9.140625" style="1405" hidden="1" customWidth="1"/>
    <col min="35" max="16384" width="9.140625" style="1405"/>
  </cols>
  <sheetData>
    <row r="1" spans="1:32" ht="39.950000000000003" customHeight="1">
      <c r="A1" s="534"/>
      <c r="B1" s="579" t="str">
        <f>IF(F4=0,"Your Institution Does Not Complete This Table","")</f>
        <v/>
      </c>
      <c r="C1" s="42"/>
      <c r="D1" s="42"/>
      <c r="E1" s="42"/>
      <c r="F1" s="42"/>
      <c r="G1" s="42"/>
      <c r="H1" s="42"/>
      <c r="I1" s="42"/>
      <c r="J1" s="42"/>
      <c r="K1" s="42"/>
      <c r="L1" s="42"/>
      <c r="M1" s="43"/>
      <c r="N1" s="43"/>
      <c r="O1" s="42"/>
      <c r="P1" s="42"/>
      <c r="Q1" s="42"/>
      <c r="R1" s="42"/>
      <c r="S1" s="42"/>
      <c r="T1" s="42"/>
    </row>
    <row r="2" spans="1:32" ht="30" customHeight="1">
      <c r="A2" s="1020"/>
      <c r="B2" s="865" t="s">
        <v>361</v>
      </c>
      <c r="C2" s="45"/>
      <c r="D2" s="45"/>
      <c r="E2" s="45"/>
      <c r="F2" s="45"/>
      <c r="G2" s="45"/>
      <c r="H2" s="45"/>
      <c r="I2" s="45"/>
      <c r="J2" s="45"/>
      <c r="K2" s="45"/>
      <c r="L2" s="46"/>
      <c r="M2" s="47"/>
      <c r="N2" s="910"/>
      <c r="O2" s="48"/>
      <c r="P2" s="48"/>
      <c r="Q2" s="48"/>
      <c r="R2" s="48"/>
      <c r="S2" s="48"/>
      <c r="T2" s="48"/>
    </row>
    <row r="3" spans="1:32" ht="15" customHeight="1">
      <c r="A3" s="882"/>
      <c r="B3" s="1017"/>
      <c r="C3" s="49"/>
      <c r="D3" s="49"/>
      <c r="E3" s="920"/>
      <c r="F3" s="49"/>
      <c r="G3" s="49"/>
      <c r="H3" s="49"/>
      <c r="I3" s="49"/>
      <c r="J3" s="49"/>
      <c r="K3" s="49"/>
      <c r="L3" s="49"/>
      <c r="M3" s="50"/>
      <c r="N3" s="65"/>
      <c r="O3" s="48"/>
      <c r="P3" s="48"/>
      <c r="Q3" s="48"/>
      <c r="R3" s="48"/>
      <c r="S3" s="48"/>
      <c r="T3" s="48"/>
    </row>
    <row r="4" spans="1:32" ht="35.1" customHeight="1">
      <c r="A4" s="882"/>
      <c r="B4" s="1018" t="s">
        <v>0</v>
      </c>
      <c r="C4" s="1718" t="str">
        <f>Background!$D$2</f>
        <v>Glasgow, University of</v>
      </c>
      <c r="D4" s="1719"/>
      <c r="E4" s="1719"/>
      <c r="F4" s="915">
        <f>VLOOKUP(Background!$C$2,Inst_Tables,3,FALSE)</f>
        <v>1</v>
      </c>
      <c r="G4" s="51"/>
      <c r="H4" s="530"/>
      <c r="I4" s="49"/>
      <c r="J4" s="49"/>
      <c r="K4" s="49"/>
      <c r="L4" s="49"/>
      <c r="M4" s="50"/>
      <c r="N4" s="65"/>
      <c r="O4" s="48"/>
      <c r="P4" s="48"/>
      <c r="Q4" s="48"/>
      <c r="R4" s="48"/>
      <c r="S4" s="48"/>
      <c r="T4" s="48"/>
    </row>
    <row r="5" spans="1:32" ht="30" customHeight="1">
      <c r="A5" s="882"/>
      <c r="B5" s="55" t="s">
        <v>347</v>
      </c>
      <c r="C5" s="52"/>
      <c r="D5" s="52"/>
      <c r="E5" s="921"/>
      <c r="F5" s="54"/>
      <c r="G5" s="54"/>
      <c r="H5" s="49"/>
      <c r="I5" s="49"/>
      <c r="J5" s="49"/>
      <c r="K5" s="49"/>
      <c r="L5" s="49"/>
      <c r="M5" s="50"/>
      <c r="N5" s="65"/>
      <c r="O5" s="48"/>
      <c r="P5" s="48"/>
      <c r="Q5" s="48"/>
      <c r="R5" s="48"/>
      <c r="S5" s="48"/>
      <c r="T5" s="48"/>
    </row>
    <row r="6" spans="1:32" ht="24.95" customHeight="1">
      <c r="A6" s="882"/>
      <c r="B6" s="55" t="s">
        <v>429</v>
      </c>
      <c r="C6" s="52"/>
      <c r="D6" s="52"/>
      <c r="E6" s="53"/>
      <c r="F6" s="54"/>
      <c r="G6" s="54"/>
      <c r="H6" s="49"/>
      <c r="I6" s="49"/>
      <c r="J6" s="49"/>
      <c r="K6" s="49"/>
      <c r="L6" s="49"/>
      <c r="M6" s="50"/>
      <c r="N6" s="65"/>
      <c r="O6" s="48"/>
      <c r="P6" s="48"/>
      <c r="Q6" s="48"/>
      <c r="R6" s="48"/>
      <c r="S6" s="48"/>
      <c r="T6" s="48"/>
    </row>
    <row r="7" spans="1:32" ht="15" customHeight="1" thickBot="1">
      <c r="A7" s="882"/>
      <c r="B7" s="1019"/>
      <c r="C7" s="49"/>
      <c r="D7" s="49"/>
      <c r="E7" s="922"/>
      <c r="F7" s="49"/>
      <c r="G7" s="49"/>
      <c r="H7" s="49"/>
      <c r="I7" s="49"/>
      <c r="J7" s="49"/>
      <c r="K7" s="49"/>
      <c r="L7" s="49"/>
      <c r="M7" s="50"/>
      <c r="N7" s="65"/>
      <c r="O7" s="48"/>
      <c r="P7" s="48"/>
      <c r="Q7" s="48"/>
      <c r="R7" s="48"/>
      <c r="S7" s="48"/>
      <c r="T7" s="48"/>
    </row>
    <row r="8" spans="1:32" ht="35.1" customHeight="1">
      <c r="A8" s="882"/>
      <c r="B8" s="1021"/>
      <c r="C8" s="1727" t="s">
        <v>417</v>
      </c>
      <c r="D8" s="1728"/>
      <c r="E8" s="1728"/>
      <c r="F8" s="1729" t="s">
        <v>414</v>
      </c>
      <c r="G8" s="1730"/>
      <c r="H8" s="1730"/>
      <c r="I8" s="1730"/>
      <c r="J8" s="1730"/>
      <c r="K8" s="1730"/>
      <c r="L8" s="1731"/>
      <c r="M8" s="50"/>
      <c r="N8" s="65"/>
      <c r="O8" s="48"/>
      <c r="P8" s="48"/>
      <c r="Q8" s="48"/>
      <c r="R8" s="48"/>
      <c r="S8" s="48"/>
      <c r="T8" s="48"/>
      <c r="V8" s="1720" t="s">
        <v>240</v>
      </c>
      <c r="W8" s="1720" t="s">
        <v>241</v>
      </c>
      <c r="X8" s="1720" t="s">
        <v>242</v>
      </c>
      <c r="Y8" s="1720" t="s">
        <v>221</v>
      </c>
      <c r="Z8" s="1720" t="s">
        <v>243</v>
      </c>
      <c r="AA8" s="1720" t="s">
        <v>244</v>
      </c>
      <c r="AB8" s="1720" t="s">
        <v>245</v>
      </c>
    </row>
    <row r="9" spans="1:32" ht="45" customHeight="1">
      <c r="A9" s="882"/>
      <c r="B9" s="1022" t="s">
        <v>237</v>
      </c>
      <c r="C9" s="1721" t="s">
        <v>78</v>
      </c>
      <c r="D9" s="1714" t="s">
        <v>176</v>
      </c>
      <c r="E9" s="1722" t="s">
        <v>178</v>
      </c>
      <c r="F9" s="1724" t="s">
        <v>28</v>
      </c>
      <c r="G9" s="1725"/>
      <c r="H9" s="1725"/>
      <c r="I9" s="1725"/>
      <c r="J9" s="1725"/>
      <c r="K9" s="1725"/>
      <c r="L9" s="1726"/>
      <c r="M9" s="50"/>
      <c r="N9" s="65"/>
      <c r="O9" s="48"/>
      <c r="P9" s="48"/>
      <c r="Q9" s="48"/>
      <c r="R9" s="48"/>
      <c r="S9" s="48"/>
      <c r="T9" s="48"/>
      <c r="V9" s="1720"/>
      <c r="W9" s="1720"/>
      <c r="X9" s="1720"/>
      <c r="Y9" s="1720"/>
      <c r="Z9" s="1720"/>
      <c r="AA9" s="1720"/>
      <c r="AB9" s="1720"/>
    </row>
    <row r="10" spans="1:32" ht="69.95" customHeight="1" thickBot="1">
      <c r="A10" s="882"/>
      <c r="B10" s="1023"/>
      <c r="C10" s="1712"/>
      <c r="D10" s="1714"/>
      <c r="E10" s="1723"/>
      <c r="F10" s="57">
        <v>0</v>
      </c>
      <c r="G10" s="57">
        <v>1</v>
      </c>
      <c r="H10" s="57" t="s">
        <v>14</v>
      </c>
      <c r="I10" s="57" t="s">
        <v>15</v>
      </c>
      <c r="J10" s="57" t="s">
        <v>16</v>
      </c>
      <c r="K10" s="58" t="s">
        <v>17</v>
      </c>
      <c r="L10" s="863" t="s">
        <v>210</v>
      </c>
      <c r="M10" s="60"/>
      <c r="N10" s="105"/>
      <c r="O10" s="48"/>
      <c r="P10" s="48"/>
      <c r="Q10" s="48"/>
      <c r="R10" s="48"/>
      <c r="S10" s="48"/>
      <c r="T10" s="48"/>
      <c r="V10" s="1720"/>
      <c r="W10" s="1720"/>
      <c r="X10" s="1720"/>
      <c r="Y10" s="1414"/>
      <c r="Z10" s="1720"/>
      <c r="AA10" s="1720"/>
      <c r="AB10" s="1720"/>
      <c r="AE10" s="1415" t="s">
        <v>76</v>
      </c>
      <c r="AF10" s="1415"/>
    </row>
    <row r="11" spans="1:32" ht="24.95" customHeight="1">
      <c r="A11" s="882"/>
      <c r="B11" s="1024"/>
      <c r="C11" s="61" t="s">
        <v>18</v>
      </c>
      <c r="D11" s="62" t="s">
        <v>18</v>
      </c>
      <c r="E11" s="64" t="s">
        <v>27</v>
      </c>
      <c r="F11" s="62" t="s">
        <v>18</v>
      </c>
      <c r="G11" s="62" t="s">
        <v>18</v>
      </c>
      <c r="H11" s="62" t="s">
        <v>18</v>
      </c>
      <c r="I11" s="62" t="s">
        <v>18</v>
      </c>
      <c r="J11" s="62" t="s">
        <v>18</v>
      </c>
      <c r="K11" s="64" t="s">
        <v>18</v>
      </c>
      <c r="L11" s="63" t="s">
        <v>18</v>
      </c>
      <c r="M11" s="60"/>
      <c r="N11" s="60"/>
      <c r="O11" s="1711" t="s">
        <v>225</v>
      </c>
      <c r="P11" s="1713" t="s">
        <v>224</v>
      </c>
      <c r="Q11" s="1715" t="s">
        <v>238</v>
      </c>
      <c r="R11" s="1716"/>
      <c r="S11" s="1717"/>
      <c r="T11" s="48"/>
      <c r="V11" s="1416" t="s">
        <v>75</v>
      </c>
      <c r="W11" s="1416" t="s">
        <v>75</v>
      </c>
      <c r="X11" s="1416" t="s">
        <v>75</v>
      </c>
      <c r="Y11" s="1416" t="s">
        <v>75</v>
      </c>
      <c r="Z11" s="1416" t="s">
        <v>75</v>
      </c>
      <c r="AA11" s="1416" t="s">
        <v>75</v>
      </c>
      <c r="AB11" s="1416" t="s">
        <v>75</v>
      </c>
      <c r="AE11" s="1415" t="s">
        <v>228</v>
      </c>
    </row>
    <row r="12" spans="1:32" ht="24.95" customHeight="1">
      <c r="A12" s="882"/>
      <c r="B12" s="1025"/>
      <c r="C12" s="153" t="s">
        <v>31</v>
      </c>
      <c r="D12" s="148" t="s">
        <v>31</v>
      </c>
      <c r="E12" s="911" t="s">
        <v>31</v>
      </c>
      <c r="F12" s="149" t="s">
        <v>31</v>
      </c>
      <c r="G12" s="149" t="s">
        <v>31</v>
      </c>
      <c r="H12" s="149" t="s">
        <v>31</v>
      </c>
      <c r="I12" s="149" t="s">
        <v>31</v>
      </c>
      <c r="J12" s="149" t="s">
        <v>31</v>
      </c>
      <c r="K12" s="149" t="s">
        <v>31</v>
      </c>
      <c r="L12" s="154" t="s">
        <v>3</v>
      </c>
      <c r="M12" s="50"/>
      <c r="N12" s="65"/>
      <c r="O12" s="1712"/>
      <c r="P12" s="1714"/>
      <c r="Q12" s="156" t="s">
        <v>61</v>
      </c>
      <c r="R12" s="1709" t="s">
        <v>239</v>
      </c>
      <c r="S12" s="66" t="s">
        <v>80</v>
      </c>
      <c r="T12" s="67"/>
      <c r="AE12" s="1415" t="s">
        <v>79</v>
      </c>
    </row>
    <row r="13" spans="1:32" ht="24.95" customHeight="1" thickBot="1">
      <c r="A13" s="882"/>
      <c r="B13" s="1026"/>
      <c r="C13" s="1596">
        <v>1</v>
      </c>
      <c r="D13" s="1597">
        <v>2</v>
      </c>
      <c r="E13" s="1597">
        <v>3</v>
      </c>
      <c r="F13" s="1597">
        <v>4</v>
      </c>
      <c r="G13" s="1597">
        <v>5</v>
      </c>
      <c r="H13" s="1597">
        <v>6</v>
      </c>
      <c r="I13" s="1597">
        <v>7</v>
      </c>
      <c r="J13" s="1597">
        <v>8</v>
      </c>
      <c r="K13" s="1597">
        <v>9</v>
      </c>
      <c r="L13" s="1598">
        <v>10</v>
      </c>
      <c r="M13" s="50"/>
      <c r="N13" s="65"/>
      <c r="O13" s="150"/>
      <c r="P13" s="151"/>
      <c r="Q13" s="151"/>
      <c r="R13" s="1710"/>
      <c r="S13" s="152"/>
      <c r="T13" s="67"/>
      <c r="AE13" s="1415"/>
    </row>
    <row r="14" spans="1:32" ht="30" customHeight="1">
      <c r="A14" s="882"/>
      <c r="B14" s="1027" t="s">
        <v>19</v>
      </c>
      <c r="C14" s="56"/>
      <c r="D14" s="74"/>
      <c r="E14" s="69"/>
      <c r="F14" s="75"/>
      <c r="G14" s="75"/>
      <c r="H14" s="76"/>
      <c r="I14" s="76"/>
      <c r="J14" s="76"/>
      <c r="K14" s="77"/>
      <c r="L14" s="68"/>
      <c r="M14" s="50"/>
      <c r="N14" s="65"/>
      <c r="O14" s="70"/>
      <c r="P14" s="71"/>
      <c r="Q14" s="71"/>
      <c r="R14" s="72"/>
      <c r="S14" s="73"/>
      <c r="T14" s="67"/>
      <c r="AE14" s="1415" t="s">
        <v>227</v>
      </c>
    </row>
    <row r="15" spans="1:32" ht="24.95" customHeight="1">
      <c r="A15" s="882"/>
      <c r="B15" s="1028" t="s">
        <v>117</v>
      </c>
      <c r="C15" s="56"/>
      <c r="D15" s="74"/>
      <c r="E15" s="69"/>
      <c r="F15" s="75"/>
      <c r="G15" s="75"/>
      <c r="H15" s="76"/>
      <c r="I15" s="76"/>
      <c r="J15" s="76"/>
      <c r="K15" s="77"/>
      <c r="L15" s="68"/>
      <c r="M15" s="50"/>
      <c r="N15" s="65"/>
      <c r="O15" s="78"/>
      <c r="P15" s="79"/>
      <c r="Q15" s="79"/>
      <c r="R15" s="79"/>
      <c r="S15" s="80"/>
      <c r="T15" s="67"/>
      <c r="AE15" s="1415"/>
    </row>
    <row r="16" spans="1:32" ht="24.95" customHeight="1">
      <c r="A16" s="882"/>
      <c r="B16" s="1029" t="s">
        <v>43</v>
      </c>
      <c r="C16" s="81">
        <v>186</v>
      </c>
      <c r="D16" s="82">
        <v>4</v>
      </c>
      <c r="E16" s="122"/>
      <c r="F16" s="916"/>
      <c r="G16" s="83">
        <v>187</v>
      </c>
      <c r="H16" s="84"/>
      <c r="I16" s="85"/>
      <c r="J16" s="85"/>
      <c r="K16" s="86"/>
      <c r="L16" s="87">
        <f>G16</f>
        <v>187</v>
      </c>
      <c r="M16" s="917"/>
      <c r="N16" s="88"/>
      <c r="O16" s="89" t="str">
        <f>IF(V16=1,Only_intake_recorded,IF(OR(W16=1,AB16=1),Intake_missing,"OK"))</f>
        <v>OK</v>
      </c>
      <c r="P16" s="90" t="str">
        <f>IF(OR(X16=1,AA16=1),Intake_inconsistent,"OK")</f>
        <v>OK</v>
      </c>
      <c r="Q16" s="681">
        <f>'Table 1 (Main)'!$I$22</f>
        <v>187</v>
      </c>
      <c r="R16" s="691">
        <f>L16-Q16</f>
        <v>0</v>
      </c>
      <c r="S16" s="91" t="str">
        <f>IF(ABS(R16)&gt;0.1,"Does not equal Table 1","OK")</f>
        <v>OK</v>
      </c>
      <c r="T16" s="48"/>
      <c r="V16" s="1417">
        <f>IF(AND(C16&gt;0,L16=0),1,0)</f>
        <v>0</v>
      </c>
      <c r="W16" s="1417">
        <f>IF(AND(C16=0,L16&gt;0),1,0)</f>
        <v>0</v>
      </c>
      <c r="X16" s="1416">
        <f>IF(C16&gt;L16,1,0)</f>
        <v>0</v>
      </c>
      <c r="Y16" s="1416">
        <f>IF(SUM(H16:K16)&gt;0,1,0)</f>
        <v>0</v>
      </c>
      <c r="Z16" s="1416">
        <f>IF(C16=L16,1,0)</f>
        <v>0</v>
      </c>
      <c r="AA16" s="1416">
        <f>Y16*Z16</f>
        <v>0</v>
      </c>
      <c r="AB16" s="1417">
        <f>IF(AND(C16=0,E16&gt;0),1,0)</f>
        <v>0</v>
      </c>
      <c r="AC16" s="1415"/>
    </row>
    <row r="17" spans="1:28" ht="24.95" customHeight="1">
      <c r="A17" s="882"/>
      <c r="B17" s="1029" t="s">
        <v>32</v>
      </c>
      <c r="C17" s="81"/>
      <c r="D17" s="82"/>
      <c r="E17" s="122"/>
      <c r="F17" s="916"/>
      <c r="G17" s="83"/>
      <c r="H17" s="82">
        <v>1</v>
      </c>
      <c r="I17" s="85"/>
      <c r="J17" s="85"/>
      <c r="K17" s="86"/>
      <c r="L17" s="87">
        <f>SUM(G17:H17)</f>
        <v>1</v>
      </c>
      <c r="M17" s="917"/>
      <c r="N17" s="88"/>
      <c r="O17" s="89" t="str">
        <f>IF(V17=1,Only_intake_recorded,IF(OR(W17=1,AB17=1),Intake_missing,"OK"))</f>
        <v>Intake missing?</v>
      </c>
      <c r="P17" s="90" t="str">
        <f>IF(OR(X17=1,AA17=1),Intake_inconsistent,"OK")</f>
        <v>OK</v>
      </c>
      <c r="Q17" s="681">
        <f>'Table 1 (Main)'!$L$22</f>
        <v>1</v>
      </c>
      <c r="R17" s="691">
        <f>L17-Q17</f>
        <v>0</v>
      </c>
      <c r="S17" s="91" t="str">
        <f>IF(ABS(R17)&gt;0.1,"Does not equal Table 1","OK")</f>
        <v>OK</v>
      </c>
      <c r="T17" s="48"/>
      <c r="V17" s="1417">
        <f>IF(AND(C17&gt;0,L17=0),1,0)</f>
        <v>0</v>
      </c>
      <c r="W17" s="1417">
        <f>IF(AND(C17=0,L17&gt;0),1,0)</f>
        <v>1</v>
      </c>
      <c r="X17" s="1416">
        <f>IF(C17&gt;L17,1,0)</f>
        <v>0</v>
      </c>
      <c r="Y17" s="1416">
        <f>IF(SUM(H17:K17)&gt;0,1,0)</f>
        <v>1</v>
      </c>
      <c r="Z17" s="1416">
        <f>IF(C17=L17,1,0)</f>
        <v>0</v>
      </c>
      <c r="AA17" s="1416">
        <f>Y17*Z17</f>
        <v>0</v>
      </c>
      <c r="AB17" s="1417">
        <f>IF(AND(C17=0,E17&gt;0),1,0)</f>
        <v>0</v>
      </c>
    </row>
    <row r="18" spans="1:28" ht="24.95" customHeight="1">
      <c r="A18" s="882"/>
      <c r="B18" s="1030" t="s">
        <v>2</v>
      </c>
      <c r="C18" s="92">
        <f>SUM(C16:C17)</f>
        <v>186</v>
      </c>
      <c r="D18" s="93">
        <f>SUM(D16:D17)</f>
        <v>4</v>
      </c>
      <c r="E18" s="912">
        <f>SUM(E16:E17)</f>
        <v>0</v>
      </c>
      <c r="F18" s="918"/>
      <c r="G18" s="94">
        <f>SUM(G16:G17)</f>
        <v>187</v>
      </c>
      <c r="H18" s="93">
        <f>H17</f>
        <v>1</v>
      </c>
      <c r="I18" s="85"/>
      <c r="J18" s="85"/>
      <c r="K18" s="86"/>
      <c r="L18" s="87">
        <f>SUM(G18:H18)</f>
        <v>188</v>
      </c>
      <c r="M18" s="917"/>
      <c r="N18" s="88"/>
      <c r="O18" s="95"/>
      <c r="P18" s="96"/>
      <c r="Q18" s="690"/>
      <c r="R18" s="97"/>
      <c r="S18" s="98"/>
      <c r="T18" s="48"/>
      <c r="V18" s="1416"/>
      <c r="W18" s="1416"/>
      <c r="X18" s="1416"/>
      <c r="Y18" s="1416"/>
      <c r="Z18" s="1416"/>
      <c r="AA18" s="1416"/>
      <c r="AB18" s="1416"/>
    </row>
    <row r="19" spans="1:28" ht="9.9499999999999993" customHeight="1">
      <c r="A19" s="882"/>
      <c r="B19" s="1031"/>
      <c r="C19" s="99"/>
      <c r="D19" s="100"/>
      <c r="E19" s="102"/>
      <c r="F19" s="103"/>
      <c r="G19" s="103"/>
      <c r="H19" s="100"/>
      <c r="I19" s="100"/>
      <c r="J19" s="100"/>
      <c r="K19" s="104"/>
      <c r="L19" s="101"/>
      <c r="M19" s="60"/>
      <c r="N19" s="105"/>
      <c r="O19" s="135"/>
      <c r="P19" s="678"/>
      <c r="Q19" s="678"/>
      <c r="R19" s="679"/>
      <c r="S19" s="680"/>
      <c r="T19" s="48"/>
      <c r="V19" s="1416"/>
      <c r="W19" s="1416"/>
      <c r="X19" s="1416"/>
      <c r="Y19" s="1416"/>
      <c r="Z19" s="1416"/>
      <c r="AA19" s="1416"/>
      <c r="AB19" s="1416"/>
    </row>
    <row r="20" spans="1:28" ht="30" customHeight="1" thickBot="1">
      <c r="A20" s="882"/>
      <c r="B20" s="1028" t="s">
        <v>99</v>
      </c>
      <c r="C20" s="106">
        <v>140.80000000000001</v>
      </c>
      <c r="D20" s="107">
        <v>3</v>
      </c>
      <c r="E20" s="108">
        <v>1</v>
      </c>
      <c r="F20" s="109"/>
      <c r="G20" s="109">
        <v>136.80000000000001</v>
      </c>
      <c r="H20" s="107">
        <v>123.8</v>
      </c>
      <c r="I20" s="107">
        <v>165.55</v>
      </c>
      <c r="J20" s="107">
        <v>137.72999999999999</v>
      </c>
      <c r="K20" s="110"/>
      <c r="L20" s="111">
        <f>SUM(F20:J20)</f>
        <v>563.88</v>
      </c>
      <c r="M20" s="917"/>
      <c r="N20" s="88"/>
      <c r="O20" s="89" t="str">
        <f>IF(V20=1,Only_intake_recorded,IF(OR(W20=1,AB20=1),Intake_missing,"OK"))</f>
        <v>OK</v>
      </c>
      <c r="P20" s="90" t="str">
        <f>IF(OR(X20=1,AA20=1),Intake_inconsistent,"OK")</f>
        <v>OK</v>
      </c>
      <c r="Q20" s="681">
        <f>'Table 1 (Main)'!$O$34</f>
        <v>563.88</v>
      </c>
      <c r="R20" s="691">
        <f>L20-Q20</f>
        <v>0</v>
      </c>
      <c r="S20" s="91" t="str">
        <f>IF(ABS(R20)&gt;0.1,"Does not equal Table 1","OK")</f>
        <v>OK</v>
      </c>
      <c r="T20" s="48"/>
      <c r="V20" s="1417">
        <f>IF(AND(C20&gt;0,L20=0),1,0)</f>
        <v>0</v>
      </c>
      <c r="W20" s="1417">
        <f>IF(AND(C20=0,L20&gt;0),1,0)</f>
        <v>0</v>
      </c>
      <c r="X20" s="1416">
        <f>IF(C20&gt;L20,1,0)</f>
        <v>0</v>
      </c>
      <c r="Y20" s="1416">
        <f>IF(SUM(H20:K20)&gt;0,1,0)</f>
        <v>1</v>
      </c>
      <c r="Z20" s="1416">
        <f>IF(C20=L20,1,0)</f>
        <v>0</v>
      </c>
      <c r="AA20" s="1416">
        <f>Y20*Z20</f>
        <v>0</v>
      </c>
      <c r="AB20" s="1417">
        <f>IF(AND(C20=0,E20&gt;0),1,0)</f>
        <v>0</v>
      </c>
    </row>
    <row r="21" spans="1:28" ht="30" customHeight="1">
      <c r="A21" s="882"/>
      <c r="B21" s="1032" t="s">
        <v>20</v>
      </c>
      <c r="C21" s="112"/>
      <c r="D21" s="113"/>
      <c r="E21" s="115"/>
      <c r="F21" s="116"/>
      <c r="G21" s="116"/>
      <c r="H21" s="113"/>
      <c r="I21" s="113"/>
      <c r="J21" s="113"/>
      <c r="K21" s="117"/>
      <c r="L21" s="114"/>
      <c r="M21" s="50"/>
      <c r="N21" s="65"/>
      <c r="O21" s="682"/>
      <c r="P21" s="683"/>
      <c r="Q21" s="683"/>
      <c r="R21" s="684"/>
      <c r="S21" s="685"/>
      <c r="T21" s="48"/>
      <c r="V21" s="1416"/>
      <c r="W21" s="1416"/>
      <c r="X21" s="1416"/>
      <c r="Y21" s="1416"/>
      <c r="Z21" s="1416"/>
      <c r="AA21" s="1416"/>
      <c r="AB21" s="1416"/>
    </row>
    <row r="22" spans="1:28" ht="24.95" customHeight="1">
      <c r="A22" s="882"/>
      <c r="B22" s="1028" t="s">
        <v>118</v>
      </c>
      <c r="C22" s="99"/>
      <c r="D22" s="100"/>
      <c r="E22" s="102"/>
      <c r="F22" s="103"/>
      <c r="G22" s="103"/>
      <c r="H22" s="100"/>
      <c r="I22" s="100"/>
      <c r="J22" s="100"/>
      <c r="K22" s="104"/>
      <c r="L22" s="101"/>
      <c r="M22" s="50"/>
      <c r="N22" s="65"/>
      <c r="O22" s="686"/>
      <c r="P22" s="687"/>
      <c r="Q22" s="687"/>
      <c r="R22" s="688"/>
      <c r="S22" s="689"/>
      <c r="T22" s="48"/>
      <c r="V22" s="1416"/>
      <c r="W22" s="1416"/>
      <c r="X22" s="1416"/>
      <c r="Y22" s="1416"/>
      <c r="Z22" s="1416"/>
      <c r="AA22" s="1416"/>
      <c r="AB22" s="1416"/>
    </row>
    <row r="23" spans="1:28" ht="24.95" customHeight="1">
      <c r="A23" s="882"/>
      <c r="B23" s="1029" t="s">
        <v>43</v>
      </c>
      <c r="C23" s="81">
        <v>161</v>
      </c>
      <c r="D23" s="82">
        <v>8</v>
      </c>
      <c r="E23" s="122">
        <v>1</v>
      </c>
      <c r="F23" s="916"/>
      <c r="G23" s="83">
        <v>161</v>
      </c>
      <c r="H23" s="85"/>
      <c r="I23" s="85"/>
      <c r="J23" s="85"/>
      <c r="K23" s="118"/>
      <c r="L23" s="87">
        <f>G23</f>
        <v>161</v>
      </c>
      <c r="M23" s="917"/>
      <c r="N23" s="88"/>
      <c r="O23" s="89" t="str">
        <f>IF(V23=1,Only_intake_recorded,IF(OR(W23=1,AB23=1),Intake_missing,"OK"))</f>
        <v>OK</v>
      </c>
      <c r="P23" s="90" t="str">
        <f>IF(OR(X23=1,AA23=1),Intake_inconsistent,"OK")</f>
        <v>OK</v>
      </c>
      <c r="Q23" s="681">
        <f>'Table 1 (Main)'!$I$23</f>
        <v>161</v>
      </c>
      <c r="R23" s="691">
        <f t="shared" ref="R23:R24" si="0">L23-Q23</f>
        <v>0</v>
      </c>
      <c r="S23" s="91" t="str">
        <f>IF(ABS(R23)&gt;0.1,"Does not equal Table 1","OK")</f>
        <v>OK</v>
      </c>
      <c r="T23" s="48"/>
      <c r="V23" s="1417">
        <f>IF(AND(C23&gt;0,L23=0),1,0)</f>
        <v>0</v>
      </c>
      <c r="W23" s="1417">
        <f>IF(AND(C23=0,L23&gt;0),1,0)</f>
        <v>0</v>
      </c>
      <c r="X23" s="1416">
        <f>IF(C23&gt;L23,1,0)</f>
        <v>0</v>
      </c>
      <c r="Y23" s="1416">
        <f>IF(SUM(H23:K23)&gt;0,1,0)</f>
        <v>0</v>
      </c>
      <c r="Z23" s="1416">
        <f>IF(C23=L23,1,0)</f>
        <v>1</v>
      </c>
      <c r="AA23" s="1416">
        <f>Y23*Z23</f>
        <v>0</v>
      </c>
      <c r="AB23" s="1417">
        <f>IF(AND(C23=0,E23&gt;0),1,0)</f>
        <v>0</v>
      </c>
    </row>
    <row r="24" spans="1:28" ht="24.95" customHeight="1">
      <c r="A24" s="882"/>
      <c r="B24" s="1029" t="s">
        <v>32</v>
      </c>
      <c r="C24" s="81"/>
      <c r="D24" s="82"/>
      <c r="E24" s="122"/>
      <c r="F24" s="916"/>
      <c r="G24" s="83"/>
      <c r="H24" s="82">
        <v>1</v>
      </c>
      <c r="I24" s="85"/>
      <c r="J24" s="85"/>
      <c r="K24" s="118"/>
      <c r="L24" s="87">
        <f>SUM(G24:H24)</f>
        <v>1</v>
      </c>
      <c r="M24" s="917"/>
      <c r="N24" s="88"/>
      <c r="O24" s="119" t="str">
        <f>IF(V24=1,Only_intake_recorded,IF(OR(W24=1,AB24=1),Intake_missing,"OK"))</f>
        <v>Intake missing?</v>
      </c>
      <c r="P24" s="120" t="str">
        <f>IF(OR(X24=1,AA24=1),Intake_inconsistent,"OK")</f>
        <v>OK</v>
      </c>
      <c r="Q24" s="681">
        <f>'Table 1 (Main)'!$L$23</f>
        <v>1</v>
      </c>
      <c r="R24" s="691">
        <f t="shared" si="0"/>
        <v>0</v>
      </c>
      <c r="S24" s="121" t="str">
        <f>IF(ABS(R24)&gt;0.1,"Does not equal Table 1","OK")</f>
        <v>OK</v>
      </c>
      <c r="T24" s="48"/>
      <c r="V24" s="1417">
        <f>IF(AND(C24&gt;0,L24=0),1,0)</f>
        <v>0</v>
      </c>
      <c r="W24" s="1417">
        <f>IF(AND(C24=0,L24&gt;0),1,0)</f>
        <v>1</v>
      </c>
      <c r="X24" s="1416">
        <f>IF(C24&gt;L24,1,0)</f>
        <v>0</v>
      </c>
      <c r="Y24" s="1416">
        <f>IF(SUM(H24:K24)&gt;0,1,0)</f>
        <v>1</v>
      </c>
      <c r="Z24" s="1416">
        <f>IF(C24=L24,1,0)</f>
        <v>0</v>
      </c>
      <c r="AA24" s="1416">
        <f>Y24*Z24</f>
        <v>0</v>
      </c>
      <c r="AB24" s="1417">
        <f>IF(AND(C24=0,E24&gt;0),1,0)</f>
        <v>0</v>
      </c>
    </row>
    <row r="25" spans="1:28" ht="24.95" customHeight="1">
      <c r="A25" s="882"/>
      <c r="B25" s="1030" t="s">
        <v>2</v>
      </c>
      <c r="C25" s="92">
        <f>SUM(C23:C24)</f>
        <v>161</v>
      </c>
      <c r="D25" s="93">
        <f>SUM(D23:D24)</f>
        <v>8</v>
      </c>
      <c r="E25" s="912">
        <f>SUM(E23:E24)</f>
        <v>1</v>
      </c>
      <c r="F25" s="918"/>
      <c r="G25" s="94">
        <f>SUM(G23:G24)</f>
        <v>161</v>
      </c>
      <c r="H25" s="93">
        <f>H24</f>
        <v>1</v>
      </c>
      <c r="I25" s="85"/>
      <c r="J25" s="85"/>
      <c r="K25" s="118"/>
      <c r="L25" s="87">
        <f>SUM(G25:H25)</f>
        <v>162</v>
      </c>
      <c r="M25" s="917"/>
      <c r="N25" s="88"/>
      <c r="O25" s="675"/>
      <c r="P25" s="676"/>
      <c r="Q25" s="676"/>
      <c r="R25" s="676"/>
      <c r="S25" s="677"/>
      <c r="T25" s="38"/>
      <c r="V25" s="1416"/>
      <c r="W25" s="1416"/>
      <c r="X25" s="1416"/>
      <c r="Y25" s="1416"/>
      <c r="Z25" s="1416"/>
      <c r="AA25" s="1416"/>
      <c r="AB25" s="1416"/>
    </row>
    <row r="26" spans="1:28" ht="9.9499999999999993" customHeight="1">
      <c r="A26" s="882"/>
      <c r="B26" s="1030"/>
      <c r="C26" s="92"/>
      <c r="D26" s="93"/>
      <c r="E26" s="913"/>
      <c r="F26" s="918"/>
      <c r="G26" s="94"/>
      <c r="H26" s="93"/>
      <c r="I26" s="85"/>
      <c r="J26" s="85"/>
      <c r="K26" s="118"/>
      <c r="L26" s="87"/>
      <c r="M26" s="917"/>
      <c r="N26" s="88"/>
      <c r="O26" s="39"/>
      <c r="P26" s="40"/>
      <c r="Q26" s="40"/>
      <c r="R26" s="40"/>
      <c r="S26" s="41"/>
      <c r="T26" s="38"/>
      <c r="V26" s="1416"/>
      <c r="W26" s="1416"/>
      <c r="X26" s="1416"/>
      <c r="Y26" s="1416"/>
      <c r="Z26" s="1416"/>
      <c r="AA26" s="1416"/>
      <c r="AB26" s="1416"/>
    </row>
    <row r="27" spans="1:28" ht="30" customHeight="1">
      <c r="A27" s="882"/>
      <c r="B27" s="1028" t="s">
        <v>21</v>
      </c>
      <c r="C27" s="81"/>
      <c r="D27" s="82"/>
      <c r="E27" s="914"/>
      <c r="F27" s="83"/>
      <c r="G27" s="83"/>
      <c r="H27" s="82"/>
      <c r="I27" s="82"/>
      <c r="J27" s="82"/>
      <c r="K27" s="118"/>
      <c r="L27" s="87">
        <f>SUM(F27:J27)</f>
        <v>0</v>
      </c>
      <c r="M27" s="917"/>
      <c r="N27" s="88"/>
      <c r="O27" s="123" t="str">
        <f>IF(V27=1,Only_intake_recorded,IF(OR(W27=1,AB27=1),Intake_missing,"OK"))</f>
        <v>OK</v>
      </c>
      <c r="P27" s="124" t="str">
        <f>IF(OR(X27=1,AA27=1),Intake_inconsistent,"OK")</f>
        <v>OK</v>
      </c>
      <c r="Q27" s="681">
        <f>'Table 1 (Main)'!$O$35</f>
        <v>0</v>
      </c>
      <c r="R27" s="691">
        <f t="shared" ref="R27:R29" si="1">L27-Q27</f>
        <v>0</v>
      </c>
      <c r="S27" s="125" t="str">
        <f>IF(ABS(R27)&gt;0.1,"Does not equal Table 1","OK")</f>
        <v>OK</v>
      </c>
      <c r="T27" s="48"/>
      <c r="V27" s="1417">
        <f>IF(AND(C27&gt;0,L27=0),1,0)</f>
        <v>0</v>
      </c>
      <c r="W27" s="1417">
        <f>IF(AND(C27=0,L27&gt;0),1,0)</f>
        <v>0</v>
      </c>
      <c r="X27" s="1416">
        <f>IF(C27&gt;L27,1,0)</f>
        <v>0</v>
      </c>
      <c r="Y27" s="1416">
        <f>IF(SUM(H27:K27)&gt;0,1,0)</f>
        <v>0</v>
      </c>
      <c r="Z27" s="1416">
        <f>IF(C27=L27,1,0)</f>
        <v>1</v>
      </c>
      <c r="AA27" s="1416">
        <f>Y27*Z27</f>
        <v>0</v>
      </c>
      <c r="AB27" s="1417"/>
    </row>
    <row r="28" spans="1:28" ht="30" customHeight="1">
      <c r="A28" s="882"/>
      <c r="B28" s="1028" t="s">
        <v>22</v>
      </c>
      <c r="C28" s="81"/>
      <c r="D28" s="82"/>
      <c r="E28" s="103"/>
      <c r="F28" s="83"/>
      <c r="G28" s="83"/>
      <c r="H28" s="82"/>
      <c r="I28" s="82"/>
      <c r="J28" s="82"/>
      <c r="K28" s="118"/>
      <c r="L28" s="87">
        <f>SUM(F28:J28)</f>
        <v>0</v>
      </c>
      <c r="M28" s="917"/>
      <c r="N28" s="88"/>
      <c r="O28" s="127" t="str">
        <f>IF(V28=1,Only_intake_recorded,IF(OR(W28=1,AB28=1),Intake_missing,"OK"))</f>
        <v>OK</v>
      </c>
      <c r="P28" s="128" t="str">
        <f>IF(OR(X28=1,AA28=1),Intake_inconsistent,"OK")</f>
        <v>OK</v>
      </c>
      <c r="Q28" s="681">
        <f>'Table 1 (Main)'!$O$36</f>
        <v>0</v>
      </c>
      <c r="R28" s="691">
        <f t="shared" si="1"/>
        <v>0</v>
      </c>
      <c r="S28" s="129" t="str">
        <f>IF(ABS(R28)&gt;0.1,"Does not equal Table 1","OK")</f>
        <v>OK</v>
      </c>
      <c r="T28" s="48"/>
      <c r="V28" s="1417">
        <f>IF(AND(C28&gt;0,L28=0),1,0)</f>
        <v>0</v>
      </c>
      <c r="W28" s="1417">
        <f>IF(AND(C28=0,L28&gt;0),1,0)</f>
        <v>0</v>
      </c>
      <c r="X28" s="1416">
        <f>IF(C28&gt;L28,1,0)</f>
        <v>0</v>
      </c>
      <c r="Y28" s="1416">
        <f>IF(SUM(H28:K28)&gt;0,1,0)</f>
        <v>0</v>
      </c>
      <c r="Z28" s="1416">
        <f>IF(C28=L28,1,0)</f>
        <v>1</v>
      </c>
      <c r="AA28" s="1416">
        <f>Y28*Z28</f>
        <v>0</v>
      </c>
      <c r="AB28" s="1417"/>
    </row>
    <row r="29" spans="1:28" ht="30" customHeight="1">
      <c r="A29" s="882"/>
      <c r="B29" s="1028" t="s">
        <v>23</v>
      </c>
      <c r="C29" s="81">
        <v>29.6</v>
      </c>
      <c r="D29" s="82"/>
      <c r="E29" s="134"/>
      <c r="F29" s="83"/>
      <c r="G29" s="83">
        <v>29</v>
      </c>
      <c r="H29" s="82">
        <v>22</v>
      </c>
      <c r="I29" s="82">
        <v>17</v>
      </c>
      <c r="J29" s="82">
        <v>23.6</v>
      </c>
      <c r="K29" s="118"/>
      <c r="L29" s="87">
        <f>SUM(F29:J29)</f>
        <v>91.6</v>
      </c>
      <c r="M29" s="917"/>
      <c r="N29" s="88"/>
      <c r="O29" s="127" t="str">
        <f>IF(V29=1,Only_intake_recorded,IF(OR(W29=1,AB29=1),Intake_missing,"OK"))</f>
        <v>OK</v>
      </c>
      <c r="P29" s="128" t="str">
        <f>IF(OR(X29=1,AA29=1),Intake_inconsistent,"OK")</f>
        <v>OK</v>
      </c>
      <c r="Q29" s="681">
        <f>'Table 1 (Main)'!$O$37</f>
        <v>91.6</v>
      </c>
      <c r="R29" s="691">
        <f t="shared" si="1"/>
        <v>0</v>
      </c>
      <c r="S29" s="129" t="str">
        <f>IF(ABS(R29)&gt;0.1,"Does not equal Table 1","OK")</f>
        <v>OK</v>
      </c>
      <c r="T29" s="48"/>
      <c r="V29" s="1417">
        <f>IF(AND(C29&gt;0,L29=0),1,0)</f>
        <v>0</v>
      </c>
      <c r="W29" s="1417">
        <f>IF(AND(C29=0,L29&gt;0),1,0)</f>
        <v>0</v>
      </c>
      <c r="X29" s="1416">
        <f>IF(C29&gt;L29,1,0)</f>
        <v>0</v>
      </c>
      <c r="Y29" s="1416">
        <f>IF(SUM(H29:K29)&gt;0,1,0)</f>
        <v>1</v>
      </c>
      <c r="Z29" s="1416">
        <f>IF(C29=L29,1,0)</f>
        <v>0</v>
      </c>
      <c r="AA29" s="1416">
        <f>Y29*Z29</f>
        <v>0</v>
      </c>
      <c r="AB29" s="1417"/>
    </row>
    <row r="30" spans="1:28" ht="9.9499999999999993" customHeight="1">
      <c r="A30" s="882"/>
      <c r="B30" s="1023"/>
      <c r="C30" s="130"/>
      <c r="D30" s="131"/>
      <c r="E30" s="133"/>
      <c r="F30" s="134"/>
      <c r="G30" s="134"/>
      <c r="H30" s="131"/>
      <c r="I30" s="131"/>
      <c r="J30" s="131"/>
      <c r="K30" s="104"/>
      <c r="L30" s="132"/>
      <c r="M30" s="50"/>
      <c r="N30" s="65"/>
      <c r="O30" s="135"/>
      <c r="P30" s="136"/>
      <c r="Q30" s="155"/>
      <c r="R30" s="137"/>
      <c r="S30" s="138"/>
      <c r="T30" s="48"/>
      <c r="V30" s="1416"/>
      <c r="W30" s="1416"/>
      <c r="X30" s="1416"/>
      <c r="Y30" s="1416"/>
      <c r="Z30" s="1416"/>
      <c r="AA30" s="1416"/>
      <c r="AB30" s="1416"/>
    </row>
    <row r="31" spans="1:28" ht="30" customHeight="1" thickBot="1">
      <c r="A31" s="882"/>
      <c r="B31" s="1033" t="s">
        <v>24</v>
      </c>
      <c r="C31" s="106">
        <v>52</v>
      </c>
      <c r="D31" s="107"/>
      <c r="E31" s="108"/>
      <c r="F31" s="109"/>
      <c r="G31" s="109">
        <v>51</v>
      </c>
      <c r="H31" s="107">
        <v>65</v>
      </c>
      <c r="I31" s="107">
        <v>34</v>
      </c>
      <c r="J31" s="107">
        <v>38.799999999999997</v>
      </c>
      <c r="K31" s="139"/>
      <c r="L31" s="111">
        <f>SUM(F31:K31)</f>
        <v>188.8</v>
      </c>
      <c r="M31" s="917"/>
      <c r="N31" s="88"/>
      <c r="O31" s="140" t="str">
        <f>IF(V31=1,Only_intake_recorded,IF(OR(W31=1,AB31=1),Intake_missing,"OK"))</f>
        <v>OK</v>
      </c>
      <c r="P31" s="141" t="str">
        <f>IF(OR(X31=1,AA31=1),Intake_inconsistent,"OK")</f>
        <v>OK</v>
      </c>
      <c r="Q31" s="141"/>
      <c r="R31" s="142"/>
      <c r="S31" s="143"/>
      <c r="T31" s="48"/>
      <c r="V31" s="1417">
        <f>IF(AND(C31&gt;0,L31=0),1,0)</f>
        <v>0</v>
      </c>
      <c r="W31" s="1417">
        <f>IF(AND(C31=0,L31&gt;0),1,0)</f>
        <v>0</v>
      </c>
      <c r="X31" s="1416">
        <f>IF(C31&gt;L31,1,0)</f>
        <v>0</v>
      </c>
      <c r="Y31" s="1416">
        <f>IF(SUM(H31:K31)&gt;0,1,0)</f>
        <v>1</v>
      </c>
      <c r="Z31" s="1416">
        <f>IF(C31=L31,1,0)</f>
        <v>0</v>
      </c>
      <c r="AA31" s="1416">
        <f>Y31*Z31</f>
        <v>0</v>
      </c>
      <c r="AB31" s="1417">
        <f>IF(AND(C31=0,E31&gt;0),1,0)</f>
        <v>0</v>
      </c>
    </row>
    <row r="32" spans="1:28" ht="30" customHeight="1">
      <c r="A32" s="882"/>
      <c r="B32" s="1034" t="s">
        <v>62</v>
      </c>
      <c r="C32" s="144"/>
      <c r="D32" s="144"/>
      <c r="E32" s="923"/>
      <c r="F32" s="105"/>
      <c r="G32" s="105"/>
      <c r="H32" s="105"/>
      <c r="I32" s="105"/>
      <c r="J32" s="105"/>
      <c r="K32" s="105"/>
      <c r="L32" s="105"/>
      <c r="M32" s="60"/>
      <c r="N32" s="105"/>
      <c r="O32" s="145"/>
      <c r="P32" s="48"/>
      <c r="Q32" s="48"/>
      <c r="R32" s="48"/>
      <c r="S32" s="48"/>
      <c r="T32" s="48"/>
      <c r="U32" s="1416"/>
      <c r="V32" s="1416"/>
      <c r="W32" s="1416"/>
      <c r="X32" s="1416"/>
      <c r="Y32" s="1416"/>
      <c r="Z32" s="1416"/>
      <c r="AA32" s="1416"/>
      <c r="AB32" s="1416"/>
    </row>
    <row r="33" spans="1:20" ht="20.100000000000001" customHeight="1">
      <c r="A33" s="907"/>
      <c r="B33" s="208"/>
      <c r="C33" s="146"/>
      <c r="D33" s="146"/>
      <c r="E33" s="146"/>
      <c r="F33" s="146"/>
      <c r="G33" s="146"/>
      <c r="H33" s="146"/>
      <c r="I33" s="146"/>
      <c r="J33" s="146"/>
      <c r="K33" s="146"/>
      <c r="L33" s="146"/>
      <c r="M33" s="919"/>
      <c r="N33" s="105"/>
      <c r="O33" s="145"/>
      <c r="P33" s="48"/>
      <c r="Q33" s="48"/>
      <c r="R33" s="48"/>
      <c r="S33" s="48"/>
      <c r="T33" s="48"/>
    </row>
    <row r="34" spans="1:20" ht="12.75" customHeight="1">
      <c r="B34" s="1412"/>
      <c r="C34" s="1418"/>
      <c r="D34" s="1418"/>
      <c r="E34" s="1418"/>
      <c r="F34" s="1418"/>
      <c r="G34" s="1418"/>
      <c r="H34" s="1418"/>
      <c r="I34" s="1418"/>
      <c r="J34" s="1418"/>
      <c r="K34" s="1418"/>
      <c r="L34" s="1418"/>
      <c r="M34" s="1418"/>
      <c r="N34" s="1418"/>
      <c r="O34" s="1418"/>
    </row>
    <row r="35" spans="1:20">
      <c r="C35" s="1418"/>
      <c r="D35" s="1418"/>
      <c r="E35" s="1418"/>
      <c r="F35" s="1418"/>
      <c r="G35" s="1418"/>
      <c r="H35" s="1418"/>
      <c r="I35" s="1418"/>
      <c r="J35" s="1418"/>
      <c r="K35" s="1418"/>
      <c r="L35" s="1418"/>
      <c r="M35" s="1418"/>
      <c r="N35" s="1418"/>
      <c r="O35" s="1418"/>
    </row>
    <row r="36" spans="1:20">
      <c r="C36" s="1418"/>
      <c r="D36" s="1418"/>
      <c r="E36" s="1418"/>
      <c r="F36" s="1418"/>
      <c r="G36" s="1418"/>
      <c r="H36" s="1418"/>
      <c r="I36" s="1418"/>
      <c r="J36" s="1418"/>
      <c r="K36" s="1418"/>
      <c r="L36" s="1418"/>
      <c r="M36" s="1418"/>
      <c r="N36" s="1418"/>
      <c r="O36" s="1418"/>
    </row>
    <row r="37" spans="1:20">
      <c r="C37" s="1418"/>
      <c r="D37" s="1418"/>
      <c r="E37" s="1418"/>
      <c r="F37" s="1418"/>
      <c r="G37" s="1418"/>
      <c r="H37" s="1418"/>
      <c r="I37" s="1418"/>
      <c r="J37" s="1418"/>
      <c r="K37" s="1418"/>
      <c r="L37" s="1418"/>
      <c r="M37" s="1418"/>
      <c r="N37" s="1418"/>
      <c r="O37" s="1418"/>
    </row>
  </sheetData>
  <sheetProtection password="E23E" sheet="1" objects="1" scenarios="1"/>
  <mergeCells count="18">
    <mergeCell ref="Z8:Z10"/>
    <mergeCell ref="AA8:AA10"/>
    <mergeCell ref="AB8:AB10"/>
    <mergeCell ref="C9:C10"/>
    <mergeCell ref="D9:D10"/>
    <mergeCell ref="E9:E10"/>
    <mergeCell ref="F9:L9"/>
    <mergeCell ref="X8:X10"/>
    <mergeCell ref="C8:E8"/>
    <mergeCell ref="F8:L8"/>
    <mergeCell ref="V8:V10"/>
    <mergeCell ref="W8:W10"/>
    <mergeCell ref="Y8:Y9"/>
    <mergeCell ref="R12:R13"/>
    <mergeCell ref="O11:O12"/>
    <mergeCell ref="P11:P12"/>
    <mergeCell ref="Q11:S11"/>
    <mergeCell ref="C4:E4"/>
  </mergeCells>
  <conditionalFormatting sqref="A1:T1">
    <cfRule type="expression" dxfId="129" priority="69" stopIfTrue="1">
      <formula>$F$4=0</formula>
    </cfRule>
  </conditionalFormatting>
  <conditionalFormatting sqref="C16:E17 G16 G17:H17 C20:J20 C23:E24 G23:G24 H24 C27:D29 F27:J29 C31:K31">
    <cfRule type="expression" dxfId="128" priority="70" stopIfTrue="1">
      <formula>$F$4=0</formula>
    </cfRule>
  </conditionalFormatting>
  <conditionalFormatting sqref="O31:S31 O16:S17 O20:S20 O23:S24 O27:S29">
    <cfRule type="expression" dxfId="127" priority="80" stopIfTrue="1">
      <formula>$F$4=0</formula>
    </cfRule>
  </conditionalFormatting>
  <dataValidations count="1">
    <dataValidation type="custom" allowBlank="1" showErrorMessage="1" errorTitle="Number less than 0" error="You are trying to enter a number which is less than 0, please re-enter a valid number." sqref="C16:E17 C31:K31 F27:J29 C27:D29 G16:G17 H24 G23:G24 C23:E24 C20:J20 H17">
      <formula1>C16&gt;=0</formula1>
    </dataValidation>
  </dataValidations>
  <printOptions horizontalCentered="1" verticalCentered="1"/>
  <pageMargins left="0.19685039370078741" right="0.19685039370078741" top="0.19685039370078741" bottom="0.15748031496062992" header="0.15748031496062992" footer="0.1574803149606299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
  <sheetViews>
    <sheetView zoomScale="80" zoomScaleNormal="80" workbookViewId="0"/>
  </sheetViews>
  <sheetFormatPr defaultColWidth="9.140625" defaultRowHeight="15"/>
  <cols>
    <col min="1" max="1" width="2.7109375" style="1405" customWidth="1"/>
    <col min="2" max="2" width="43.140625" style="1405" customWidth="1"/>
    <col min="3" max="16" width="10.7109375" style="1405" customWidth="1"/>
    <col min="17" max="18" width="2.7109375" style="1405" customWidth="1"/>
    <col min="19" max="25" width="15.7109375" style="1405" customWidth="1"/>
    <col min="26" max="26" width="4" style="1405" customWidth="1"/>
    <col min="27" max="16384" width="9.140625" style="1405"/>
  </cols>
  <sheetData>
    <row r="1" spans="1:26" ht="39.950000000000003" customHeight="1">
      <c r="A1" s="534"/>
      <c r="B1" s="579" t="str">
        <f>IF(G4=0,"Your Institution Does Not Complete This Table","")</f>
        <v>Your Institution Does Not Complete This Table</v>
      </c>
      <c r="C1" s="42"/>
      <c r="D1" s="42"/>
      <c r="E1" s="42"/>
      <c r="F1" s="42"/>
      <c r="G1" s="42"/>
      <c r="H1" s="42"/>
      <c r="I1" s="42"/>
      <c r="J1" s="42"/>
      <c r="K1" s="42"/>
      <c r="L1" s="42"/>
      <c r="M1" s="42"/>
      <c r="N1" s="42"/>
      <c r="O1" s="42"/>
      <c r="P1" s="42"/>
      <c r="Q1" s="42"/>
      <c r="R1" s="43"/>
      <c r="S1" s="42"/>
      <c r="T1" s="42"/>
      <c r="U1" s="42"/>
      <c r="V1" s="42"/>
      <c r="W1" s="42"/>
      <c r="X1" s="42"/>
      <c r="Y1" s="42"/>
      <c r="Z1" s="42"/>
    </row>
    <row r="2" spans="1:26" ht="30" customHeight="1">
      <c r="A2" s="1020"/>
      <c r="B2" s="865" t="s">
        <v>362</v>
      </c>
      <c r="C2" s="157"/>
      <c r="D2" s="157"/>
      <c r="E2" s="157"/>
      <c r="F2" s="157"/>
      <c r="G2" s="157"/>
      <c r="H2" s="157"/>
      <c r="I2" s="157"/>
      <c r="J2" s="157"/>
      <c r="K2" s="157"/>
      <c r="L2" s="157"/>
      <c r="M2" s="157"/>
      <c r="N2" s="157"/>
      <c r="O2" s="157"/>
      <c r="P2" s="158"/>
      <c r="Q2" s="159"/>
      <c r="R2" s="65"/>
      <c r="S2" s="48"/>
      <c r="T2" s="48"/>
      <c r="U2" s="48"/>
      <c r="V2" s="48"/>
      <c r="W2" s="48"/>
      <c r="X2" s="48"/>
      <c r="Y2" s="48"/>
      <c r="Z2" s="48"/>
    </row>
    <row r="3" spans="1:26" ht="15" customHeight="1">
      <c r="A3" s="882"/>
      <c r="B3" s="1035"/>
      <c r="C3" s="49"/>
      <c r="D3" s="49"/>
      <c r="E3" s="49"/>
      <c r="F3" s="49"/>
      <c r="G3" s="49"/>
      <c r="H3" s="49"/>
      <c r="I3" s="49"/>
      <c r="J3" s="49"/>
      <c r="K3" s="49"/>
      <c r="L3" s="49"/>
      <c r="M3" s="49"/>
      <c r="N3" s="49"/>
      <c r="O3" s="49"/>
      <c r="P3" s="49"/>
      <c r="Q3" s="77"/>
      <c r="R3" s="65"/>
      <c r="S3" s="48"/>
      <c r="T3" s="48"/>
      <c r="U3" s="48"/>
      <c r="V3" s="48"/>
      <c r="W3" s="48"/>
      <c r="X3" s="48"/>
      <c r="Y3" s="48"/>
      <c r="Z3" s="48"/>
    </row>
    <row r="4" spans="1:26" ht="35.1" customHeight="1">
      <c r="A4" s="882"/>
      <c r="B4" s="1070" t="s">
        <v>0</v>
      </c>
      <c r="C4" s="1737" t="str">
        <f>Background!$D$2</f>
        <v>Glasgow, University of</v>
      </c>
      <c r="D4" s="1719"/>
      <c r="E4" s="1719"/>
      <c r="F4" s="1738"/>
      <c r="G4" s="915">
        <f>VLOOKUP(Background!$C$2,Inst_Tables,4,FALSE)</f>
        <v>0</v>
      </c>
      <c r="H4" s="530"/>
      <c r="I4" s="49"/>
      <c r="J4" s="49"/>
      <c r="K4" s="49"/>
      <c r="L4" s="49"/>
      <c r="M4" s="49"/>
      <c r="N4" s="49"/>
      <c r="O4" s="49"/>
      <c r="P4" s="49"/>
      <c r="Q4" s="77"/>
      <c r="R4" s="65"/>
      <c r="S4" s="48"/>
      <c r="T4" s="48"/>
      <c r="U4" s="48"/>
      <c r="V4" s="48"/>
      <c r="W4" s="48"/>
      <c r="X4" s="48"/>
      <c r="Y4" s="48"/>
      <c r="Z4" s="48"/>
    </row>
    <row r="5" spans="1:26" ht="30" customHeight="1">
      <c r="A5" s="882"/>
      <c r="B5" s="1036" t="s">
        <v>348</v>
      </c>
      <c r="C5" s="69"/>
      <c r="D5" s="69"/>
      <c r="E5" s="69"/>
      <c r="F5" s="69"/>
      <c r="G5" s="69"/>
      <c r="H5" s="69"/>
      <c r="I5" s="69"/>
      <c r="J5" s="69"/>
      <c r="K5" s="69"/>
      <c r="L5" s="69"/>
      <c r="M5" s="69"/>
      <c r="N5" s="69"/>
      <c r="O5" s="69"/>
      <c r="P5" s="69"/>
      <c r="Q5" s="77"/>
      <c r="R5" s="65"/>
      <c r="S5" s="48"/>
      <c r="T5" s="48"/>
      <c r="U5" s="48"/>
      <c r="V5" s="48"/>
      <c r="W5" s="48"/>
      <c r="X5" s="48"/>
      <c r="Y5" s="48"/>
      <c r="Z5" s="48"/>
    </row>
    <row r="6" spans="1:26" ht="30" customHeight="1">
      <c r="A6" s="882"/>
      <c r="B6" s="1037" t="s">
        <v>430</v>
      </c>
      <c r="C6" s="69"/>
      <c r="D6" s="69"/>
      <c r="E6" s="69"/>
      <c r="F6" s="69"/>
      <c r="G6" s="69"/>
      <c r="H6" s="69"/>
      <c r="I6" s="69"/>
      <c r="J6" s="69"/>
      <c r="K6" s="69"/>
      <c r="L6" s="69"/>
      <c r="M6" s="69"/>
      <c r="N6" s="69"/>
      <c r="O6" s="69"/>
      <c r="P6" s="69"/>
      <c r="Q6" s="77"/>
      <c r="R6" s="65"/>
      <c r="S6" s="48"/>
      <c r="T6" s="48"/>
      <c r="U6" s="48"/>
      <c r="V6" s="48"/>
      <c r="W6" s="48"/>
      <c r="X6" s="48"/>
      <c r="Y6" s="48"/>
      <c r="Z6" s="48"/>
    </row>
    <row r="7" spans="1:26" ht="15" customHeight="1" thickBot="1">
      <c r="A7" s="882"/>
      <c r="B7" s="1037"/>
      <c r="C7" s="69"/>
      <c r="D7" s="69"/>
      <c r="E7" s="69"/>
      <c r="F7" s="69"/>
      <c r="G7" s="69"/>
      <c r="H7" s="69"/>
      <c r="I7" s="69"/>
      <c r="J7" s="69"/>
      <c r="K7" s="69"/>
      <c r="L7" s="69"/>
      <c r="M7" s="69"/>
      <c r="N7" s="69"/>
      <c r="O7" s="69"/>
      <c r="P7" s="69"/>
      <c r="Q7" s="77"/>
      <c r="R7" s="65"/>
      <c r="S7" s="48"/>
      <c r="T7" s="48"/>
      <c r="U7" s="48"/>
      <c r="V7" s="48"/>
      <c r="W7" s="48"/>
      <c r="X7" s="48"/>
      <c r="Y7" s="48"/>
      <c r="Z7" s="48"/>
    </row>
    <row r="8" spans="1:26" ht="35.1" customHeight="1">
      <c r="A8" s="882"/>
      <c r="B8" s="1040"/>
      <c r="C8" s="1732" t="s">
        <v>13</v>
      </c>
      <c r="D8" s="1733"/>
      <c r="E8" s="1733"/>
      <c r="F8" s="1733"/>
      <c r="G8" s="1733"/>
      <c r="H8" s="1733"/>
      <c r="I8" s="1733"/>
      <c r="J8" s="1733"/>
      <c r="K8" s="1733"/>
      <c r="L8" s="1733"/>
      <c r="M8" s="1733"/>
      <c r="N8" s="1733"/>
      <c r="O8" s="1733"/>
      <c r="P8" s="1734"/>
      <c r="Q8" s="77"/>
      <c r="R8" s="65"/>
      <c r="S8" s="48"/>
      <c r="T8" s="48"/>
      <c r="U8" s="48"/>
      <c r="V8" s="48"/>
      <c r="W8" s="48"/>
      <c r="X8" s="48"/>
      <c r="Y8" s="48"/>
      <c r="Z8" s="48"/>
    </row>
    <row r="9" spans="1:26" ht="35.1" customHeight="1">
      <c r="A9" s="882"/>
      <c r="B9" s="1041" t="s">
        <v>246</v>
      </c>
      <c r="C9" s="160">
        <v>0</v>
      </c>
      <c r="D9" s="161"/>
      <c r="E9" s="160" t="s">
        <v>25</v>
      </c>
      <c r="F9" s="161"/>
      <c r="G9" s="160">
        <v>2</v>
      </c>
      <c r="H9" s="161"/>
      <c r="I9" s="160">
        <v>3</v>
      </c>
      <c r="J9" s="161"/>
      <c r="K9" s="160">
        <v>4</v>
      </c>
      <c r="L9" s="161"/>
      <c r="M9" s="160">
        <v>5</v>
      </c>
      <c r="N9" s="161"/>
      <c r="O9" s="1735" t="s">
        <v>2</v>
      </c>
      <c r="P9" s="1736"/>
      <c r="Q9" s="77"/>
      <c r="R9" s="65"/>
      <c r="S9" s="48"/>
      <c r="T9" s="48"/>
      <c r="U9" s="48"/>
      <c r="V9" s="48"/>
      <c r="W9" s="48"/>
      <c r="X9" s="48"/>
      <c r="Y9" s="48"/>
      <c r="Z9" s="48"/>
    </row>
    <row r="10" spans="1:26" ht="35.1" customHeight="1">
      <c r="A10" s="882"/>
      <c r="B10" s="1042"/>
      <c r="C10" s="57" t="s">
        <v>18</v>
      </c>
      <c r="D10" s="163" t="s">
        <v>66</v>
      </c>
      <c r="E10" s="57" t="s">
        <v>18</v>
      </c>
      <c r="F10" s="163" t="s">
        <v>66</v>
      </c>
      <c r="G10" s="57" t="s">
        <v>18</v>
      </c>
      <c r="H10" s="163" t="s">
        <v>66</v>
      </c>
      <c r="I10" s="57" t="s">
        <v>18</v>
      </c>
      <c r="J10" s="163" t="s">
        <v>66</v>
      </c>
      <c r="K10" s="57" t="s">
        <v>18</v>
      </c>
      <c r="L10" s="163" t="s">
        <v>66</v>
      </c>
      <c r="M10" s="57" t="s">
        <v>18</v>
      </c>
      <c r="N10" s="163" t="s">
        <v>66</v>
      </c>
      <c r="O10" s="162" t="s">
        <v>18</v>
      </c>
      <c r="P10" s="164" t="s">
        <v>66</v>
      </c>
      <c r="Q10" s="60"/>
      <c r="R10" s="65"/>
      <c r="S10" s="165" t="s">
        <v>60</v>
      </c>
      <c r="T10" s="48"/>
      <c r="U10" s="48"/>
      <c r="V10" s="48"/>
      <c r="W10" s="48"/>
      <c r="X10" s="48"/>
      <c r="Y10" s="48"/>
      <c r="Z10" s="48"/>
    </row>
    <row r="11" spans="1:26" ht="35.1" customHeight="1">
      <c r="A11" s="882"/>
      <c r="B11" s="1042"/>
      <c r="C11" s="218" t="s">
        <v>31</v>
      </c>
      <c r="D11" s="217" t="s">
        <v>31</v>
      </c>
      <c r="E11" s="218" t="s">
        <v>31</v>
      </c>
      <c r="F11" s="217" t="s">
        <v>31</v>
      </c>
      <c r="G11" s="218" t="s">
        <v>31</v>
      </c>
      <c r="H11" s="217" t="s">
        <v>31</v>
      </c>
      <c r="I11" s="218" t="s">
        <v>31</v>
      </c>
      <c r="J11" s="217" t="s">
        <v>31</v>
      </c>
      <c r="K11" s="218" t="s">
        <v>31</v>
      </c>
      <c r="L11" s="217" t="s">
        <v>31</v>
      </c>
      <c r="M11" s="218" t="s">
        <v>31</v>
      </c>
      <c r="N11" s="217" t="s">
        <v>31</v>
      </c>
      <c r="O11" s="219" t="s">
        <v>131</v>
      </c>
      <c r="P11" s="864" t="s">
        <v>131</v>
      </c>
      <c r="Q11" s="60"/>
      <c r="R11" s="65"/>
      <c r="S11" s="166" t="s">
        <v>69</v>
      </c>
      <c r="T11" s="166" t="s">
        <v>70</v>
      </c>
      <c r="U11" s="166" t="s">
        <v>71</v>
      </c>
      <c r="V11" s="166" t="s">
        <v>72</v>
      </c>
      <c r="W11" s="166" t="s">
        <v>73</v>
      </c>
      <c r="X11" s="166" t="s">
        <v>74</v>
      </c>
      <c r="Y11" s="166" t="s">
        <v>2</v>
      </c>
      <c r="Z11" s="48"/>
    </row>
    <row r="12" spans="1:26" ht="30" customHeight="1" thickBot="1">
      <c r="A12" s="882"/>
      <c r="B12" s="1043"/>
      <c r="C12" s="1471">
        <v>1</v>
      </c>
      <c r="D12" s="1471">
        <v>2</v>
      </c>
      <c r="E12" s="1471">
        <v>3</v>
      </c>
      <c r="F12" s="1471">
        <v>4</v>
      </c>
      <c r="G12" s="1471">
        <v>5</v>
      </c>
      <c r="H12" s="1471">
        <v>6</v>
      </c>
      <c r="I12" s="1471">
        <v>7</v>
      </c>
      <c r="J12" s="1471">
        <v>8</v>
      </c>
      <c r="K12" s="1471">
        <v>9</v>
      </c>
      <c r="L12" s="1471">
        <v>10</v>
      </c>
      <c r="M12" s="1471">
        <v>11</v>
      </c>
      <c r="N12" s="1471">
        <v>12</v>
      </c>
      <c r="O12" s="1471">
        <v>13</v>
      </c>
      <c r="P12" s="1474">
        <v>14</v>
      </c>
      <c r="Q12" s="60"/>
      <c r="R12" s="65"/>
      <c r="S12" s="909"/>
      <c r="T12" s="166"/>
      <c r="U12" s="166"/>
      <c r="V12" s="166"/>
      <c r="W12" s="166"/>
      <c r="X12" s="166"/>
      <c r="Y12" s="166"/>
      <c r="Z12" s="48"/>
    </row>
    <row r="13" spans="1:26" ht="45" customHeight="1">
      <c r="A13" s="882"/>
      <c r="B13" s="1053" t="s">
        <v>11</v>
      </c>
      <c r="C13" s="167"/>
      <c r="D13" s="168"/>
      <c r="E13" s="169"/>
      <c r="F13" s="170"/>
      <c r="G13" s="167"/>
      <c r="H13" s="168"/>
      <c r="I13" s="169"/>
      <c r="J13" s="170"/>
      <c r="K13" s="167"/>
      <c r="L13" s="168"/>
      <c r="M13" s="169"/>
      <c r="N13" s="170"/>
      <c r="O13" s="171">
        <f>SUM(C13,E13,G13,I13,K13,M13)</f>
        <v>0</v>
      </c>
      <c r="P13" s="172">
        <f>SUM(D13,F13,H13,J13,L13,N13)</f>
        <v>0</v>
      </c>
      <c r="Q13" s="77"/>
      <c r="R13" s="65"/>
      <c r="S13" s="173" t="str">
        <f>IF(C13&lt;=D13,"OK","FTE larger than Headcount")</f>
        <v>OK</v>
      </c>
      <c r="T13" s="174" t="str">
        <f>IF(E13&lt;=F13,"OK","FTE larger than Headcount")</f>
        <v>OK</v>
      </c>
      <c r="U13" s="174" t="str">
        <f>IF(G13&lt;=H13,"OK","FTE larger than Headcount")</f>
        <v>OK</v>
      </c>
      <c r="V13" s="174" t="str">
        <f>IF(I13&lt;=J13,"OK","FTE larger than Headcount")</f>
        <v>OK</v>
      </c>
      <c r="W13" s="174" t="str">
        <f>IF(K13&lt;=L13,"OK","FTE larger than Headcount")</f>
        <v>OK</v>
      </c>
      <c r="X13" s="174" t="str">
        <f>IF(M13&lt;=N13,"OK","FTE larger than Headcount")</f>
        <v>OK</v>
      </c>
      <c r="Y13" s="175" t="str">
        <f>IF(O13&lt;=P13,"OK","FTE larger than Headcount")</f>
        <v>OK</v>
      </c>
      <c r="Z13" s="48"/>
    </row>
    <row r="14" spans="1:26" ht="45" customHeight="1" thickBot="1">
      <c r="A14" s="882"/>
      <c r="B14" s="1084" t="s">
        <v>220</v>
      </c>
      <c r="C14" s="176"/>
      <c r="D14" s="177"/>
      <c r="E14" s="178"/>
      <c r="F14" s="179"/>
      <c r="G14" s="176"/>
      <c r="H14" s="177"/>
      <c r="I14" s="178"/>
      <c r="J14" s="179"/>
      <c r="K14" s="176"/>
      <c r="L14" s="177"/>
      <c r="M14" s="178"/>
      <c r="N14" s="179"/>
      <c r="O14" s="180">
        <f>SUM(C14,E14,G14,I14,K14,M14)</f>
        <v>0</v>
      </c>
      <c r="P14" s="181">
        <f>SUM(D14,F14,H14,J14,L14,N14)</f>
        <v>0</v>
      </c>
      <c r="Q14" s="77"/>
      <c r="R14" s="65"/>
      <c r="S14" s="182" t="str">
        <f>IF(C14&lt;=D14,"OK","FTE larger than Headcount")</f>
        <v>OK</v>
      </c>
      <c r="T14" s="183" t="str">
        <f>IF(E14&lt;=F14,"OK","FTE larger than Headcount")</f>
        <v>OK</v>
      </c>
      <c r="U14" s="183" t="str">
        <f>IF(G14&lt;=H14,"OK","FTE larger than Headcount")</f>
        <v>OK</v>
      </c>
      <c r="V14" s="183" t="str">
        <f>IF(I14&lt;=J14,"OK","FTE larger than Headcount")</f>
        <v>OK</v>
      </c>
      <c r="W14" s="183" t="str">
        <f>IF(K14&lt;=L14,"OK","FTE larger than Headcount")</f>
        <v>OK</v>
      </c>
      <c r="X14" s="183" t="str">
        <f>IF(M14&lt;=N14,"OK","FTE larger than Headcount")</f>
        <v>OK</v>
      </c>
      <c r="Y14" s="184" t="str">
        <f>IF(O14&lt;=P14,"OK","FTE larger than Headcount")</f>
        <v>OK</v>
      </c>
      <c r="Z14" s="48"/>
    </row>
    <row r="15" spans="1:26" ht="30" customHeight="1">
      <c r="A15" s="907"/>
      <c r="B15" s="1039"/>
      <c r="C15" s="185"/>
      <c r="D15" s="185"/>
      <c r="E15" s="185"/>
      <c r="F15" s="185"/>
      <c r="G15" s="185"/>
      <c r="H15" s="185"/>
      <c r="I15" s="185"/>
      <c r="J15" s="185"/>
      <c r="K15" s="185"/>
      <c r="L15" s="185"/>
      <c r="M15" s="185"/>
      <c r="N15" s="185"/>
      <c r="O15" s="185"/>
      <c r="P15" s="185"/>
      <c r="Q15" s="186"/>
      <c r="R15" s="65"/>
      <c r="S15" s="165"/>
      <c r="T15" s="48"/>
      <c r="U15" s="48"/>
      <c r="V15" s="48"/>
      <c r="W15" s="48"/>
      <c r="X15" s="48"/>
      <c r="Y15" s="48"/>
      <c r="Z15" s="48"/>
    </row>
    <row r="16" spans="1:26" ht="30" customHeight="1">
      <c r="A16" s="534"/>
      <c r="B16" s="1045"/>
      <c r="C16" s="69"/>
      <c r="D16" s="69"/>
      <c r="E16" s="69"/>
      <c r="F16" s="69"/>
      <c r="G16" s="69"/>
      <c r="H16" s="69"/>
      <c r="I16" s="69"/>
      <c r="J16" s="69"/>
      <c r="K16" s="69"/>
      <c r="L16" s="69"/>
      <c r="M16" s="69"/>
      <c r="N16" s="69"/>
      <c r="O16" s="69"/>
      <c r="P16" s="157"/>
      <c r="Q16" s="157"/>
      <c r="R16" s="65"/>
      <c r="S16" s="165" t="s">
        <v>77</v>
      </c>
      <c r="T16" s="48"/>
      <c r="U16" s="48"/>
      <c r="V16" s="48"/>
      <c r="W16" s="48"/>
      <c r="X16" s="48"/>
      <c r="Y16" s="48"/>
      <c r="Z16" s="48"/>
    </row>
    <row r="17" spans="1:26" ht="9.9499999999999993" customHeight="1" thickBot="1">
      <c r="A17" s="534"/>
      <c r="B17" s="1038"/>
      <c r="C17" s="69"/>
      <c r="D17" s="69"/>
      <c r="E17" s="69"/>
      <c r="F17" s="69"/>
      <c r="G17" s="69"/>
      <c r="H17" s="69"/>
      <c r="I17" s="69"/>
      <c r="J17" s="69"/>
      <c r="K17" s="69"/>
      <c r="L17" s="69"/>
      <c r="M17" s="69"/>
      <c r="N17" s="69"/>
      <c r="O17" s="69"/>
      <c r="P17" s="69"/>
      <c r="Q17" s="69"/>
      <c r="R17" s="65"/>
      <c r="S17" s="165"/>
      <c r="T17" s="48"/>
      <c r="U17" s="48"/>
      <c r="V17" s="48"/>
      <c r="W17" s="48"/>
      <c r="X17" s="48"/>
      <c r="Y17" s="48"/>
      <c r="Z17" s="48"/>
    </row>
    <row r="18" spans="1:26" ht="45" customHeight="1">
      <c r="A18" s="534"/>
      <c r="B18" s="187"/>
      <c r="C18" s="187"/>
      <c r="D18" s="188"/>
      <c r="E18" s="188"/>
      <c r="F18" s="188"/>
      <c r="G18" s="188"/>
      <c r="H18" s="188"/>
      <c r="I18" s="188"/>
      <c r="J18" s="188"/>
      <c r="K18" s="188"/>
      <c r="L18" s="188"/>
      <c r="M18" s="188"/>
      <c r="N18" s="188"/>
      <c r="O18" s="188"/>
      <c r="P18" s="188"/>
      <c r="Q18" s="188"/>
      <c r="R18" s="65"/>
      <c r="S18" s="189" t="str">
        <f>IF(OR((COUNTBLANK(C13:D13)=1),AND(MAX(C13,D13)&gt;0,MIN(C13,D13)=0)),"Only one of FTE and Headcount is non-zero","OK")</f>
        <v>OK</v>
      </c>
      <c r="T18" s="190" t="str">
        <f>IF(OR((COUNTBLANK(E13:F13)=1),AND(MAX(E13,F13)&gt;0,MIN(E13,F13)=0)),"Only one of FTE and Headcount is non-zero","OK")</f>
        <v>OK</v>
      </c>
      <c r="U18" s="190" t="str">
        <f>IF(OR((COUNTBLANK(G13:H13)=1),AND(MAX(G13,H13)&gt;0,MIN(G13,H13)=0)),"Only one of FTE and Headcount is non-zero","OK")</f>
        <v>OK</v>
      </c>
      <c r="V18" s="190" t="str">
        <f>IF(OR((COUNTBLANK(I13:J13)=1),AND(MAX(I13,J13)&gt;0,MIN(I13,J13)=0)),"Only one of FTE and Headcount is non-zero","OK")</f>
        <v>OK</v>
      </c>
      <c r="W18" s="190" t="str">
        <f>IF(OR((COUNTBLANK(K13:L13)=1),AND(MAX(K13,L13)&gt;0,MIN(K13,L13)=0)),"Only one of FTE and Headcount is non-zero","OK")</f>
        <v>OK</v>
      </c>
      <c r="X18" s="190" t="str">
        <f>IF(OR((COUNTBLANK(M13:N13)=1),AND(MAX(M13,N13)&gt;0,MIN(M13,N13)=0)),"Only one of FTE and Headcount is non-zero","OK")</f>
        <v>OK</v>
      </c>
      <c r="Y18" s="191" t="str">
        <f>IF(OR((COUNTBLANK(O13:P13)=1),AND(MAX(O13,P13)&gt;0,MIN(O13,P13)=0)),"Only one of FTE and Headcount is non-zero","OK")</f>
        <v>OK</v>
      </c>
      <c r="Z18" s="48"/>
    </row>
    <row r="19" spans="1:26" ht="45" customHeight="1" thickBot="1">
      <c r="A19" s="534"/>
      <c r="B19" s="65"/>
      <c r="C19" s="192"/>
      <c r="D19" s="192"/>
      <c r="E19" s="192"/>
      <c r="F19" s="192"/>
      <c r="G19" s="192"/>
      <c r="H19" s="192"/>
      <c r="I19" s="192"/>
      <c r="J19" s="192"/>
      <c r="K19" s="192"/>
      <c r="L19" s="192"/>
      <c r="M19" s="192"/>
      <c r="N19" s="192"/>
      <c r="O19" s="192"/>
      <c r="P19" s="192"/>
      <c r="Q19" s="192"/>
      <c r="R19" s="192"/>
      <c r="S19" s="193" t="str">
        <f>IF(OR((COUNTBLANK(C14:D14)=1),AND(MAX(C14,D14)&gt;0,MIN(C14,D14)=0)),"Only one of FTE and Headcount is non-zero","OK")</f>
        <v>OK</v>
      </c>
      <c r="T19" s="194" t="str">
        <f>IF(OR((COUNTBLANK(E14:F14)=1),AND(MAX(E14,F14)&gt;0,MIN(E14,F14)=0)),"Only one of FTE and Headcount is non-zero","OK")</f>
        <v>OK</v>
      </c>
      <c r="U19" s="194" t="str">
        <f>IF(OR((COUNTBLANK(G14:H14)=1),AND(MAX(G14,H14)&gt;0,MIN(G14,H14)=0)),"Only one of FTE and Headcount is non-zero","OK")</f>
        <v>OK</v>
      </c>
      <c r="V19" s="194" t="str">
        <f>IF(OR((COUNTBLANK(I14:J14)=1),AND(MAX(I14,J14)&gt;0,MIN(I14,J14)=0)),"Only one of FTE and Headcount is non-zero","OK")</f>
        <v>OK</v>
      </c>
      <c r="W19" s="194" t="str">
        <f>IF(OR((COUNTBLANK(K14:L14)=1),AND(MAX(K14,L14)&gt;0,MIN(K14,L14)=0)),"Only one of FTE and Headcount is non-zero","OK")</f>
        <v>OK</v>
      </c>
      <c r="X19" s="194" t="str">
        <f>IF(OR((COUNTBLANK(M14:N14)=1),AND(MAX(M14,N14)&gt;0,MIN(M14,N14)=0)),"Only one of FTE and Headcount is non-zero","OK")</f>
        <v>OK</v>
      </c>
      <c r="Y19" s="195" t="str">
        <f>IF(OR((COUNTBLANK(O14:P14)=1),AND(MAX(O14,P14)&gt;0,MIN(O14,P14)=0)),"Only one of FTE and Headcount is non-zero","OK")</f>
        <v>OK</v>
      </c>
      <c r="Z19" s="48"/>
    </row>
    <row r="20" spans="1:26" ht="33.75" customHeight="1">
      <c r="A20" s="534"/>
      <c r="B20" s="192"/>
      <c r="C20" s="192"/>
      <c r="D20" s="192"/>
      <c r="E20" s="192"/>
      <c r="F20" s="192"/>
      <c r="G20" s="192"/>
      <c r="H20" s="192"/>
      <c r="I20" s="192"/>
      <c r="J20" s="192"/>
      <c r="K20" s="192"/>
      <c r="L20" s="192"/>
      <c r="M20" s="192"/>
      <c r="N20" s="192"/>
      <c r="O20" s="192"/>
      <c r="P20" s="192"/>
      <c r="Q20" s="192"/>
      <c r="R20" s="192"/>
      <c r="S20" s="196"/>
      <c r="T20" s="196"/>
      <c r="U20" s="196"/>
      <c r="V20" s="196"/>
      <c r="W20" s="196"/>
      <c r="X20" s="196"/>
      <c r="Y20" s="196"/>
      <c r="Z20" s="48"/>
    </row>
    <row r="21" spans="1:26" ht="12.75" customHeight="1">
      <c r="B21" s="1412"/>
      <c r="C21" s="1418"/>
      <c r="D21" s="1418"/>
      <c r="E21" s="1418"/>
      <c r="F21" s="1418"/>
      <c r="G21" s="1418"/>
      <c r="H21" s="1418"/>
      <c r="I21" s="1418"/>
      <c r="J21" s="1418"/>
      <c r="K21" s="1418"/>
      <c r="L21" s="1418"/>
      <c r="M21" s="1418"/>
      <c r="N21" s="1418"/>
    </row>
    <row r="22" spans="1:26">
      <c r="C22" s="1418"/>
      <c r="D22" s="1418"/>
      <c r="E22" s="1418"/>
      <c r="F22" s="1418"/>
      <c r="G22" s="1418"/>
      <c r="H22" s="1418"/>
      <c r="I22" s="1418"/>
      <c r="J22" s="1418"/>
      <c r="K22" s="1418"/>
      <c r="L22" s="1418"/>
      <c r="M22" s="1418"/>
      <c r="N22" s="1418"/>
    </row>
    <row r="23" spans="1:26">
      <c r="C23" s="1418"/>
      <c r="D23" s="1418"/>
      <c r="E23" s="1418"/>
      <c r="F23" s="1418"/>
      <c r="G23" s="1418"/>
      <c r="H23" s="1418"/>
      <c r="I23" s="1418"/>
      <c r="J23" s="1418"/>
      <c r="K23" s="1418"/>
      <c r="L23" s="1418"/>
      <c r="M23" s="1418"/>
      <c r="N23" s="1418"/>
    </row>
  </sheetData>
  <sheetProtection password="E23E" sheet="1" objects="1" scenarios="1"/>
  <mergeCells count="3">
    <mergeCell ref="C8:P8"/>
    <mergeCell ref="O9:P9"/>
    <mergeCell ref="C4:F4"/>
  </mergeCells>
  <conditionalFormatting sqref="B3:D3 B18:D18">
    <cfRule type="expression" dxfId="126" priority="14" stopIfTrue="1">
      <formula>#REF!=0</formula>
    </cfRule>
  </conditionalFormatting>
  <conditionalFormatting sqref="B4:C4">
    <cfRule type="expression" dxfId="125" priority="18" stopIfTrue="1">
      <formula>#REF!=0</formula>
    </cfRule>
  </conditionalFormatting>
  <conditionalFormatting sqref="B5">
    <cfRule type="expression" dxfId="124" priority="1" stopIfTrue="1">
      <formula>#REF!=0</formula>
    </cfRule>
  </conditionalFormatting>
  <conditionalFormatting sqref="C13:N14">
    <cfRule type="expression" dxfId="123" priority="82" stopIfTrue="1">
      <formula>$G$4=0</formula>
    </cfRule>
  </conditionalFormatting>
  <conditionalFormatting sqref="S13:Y14 S18:Y19">
    <cfRule type="expression" dxfId="122" priority="83" stopIfTrue="1">
      <formula>$G$4=0</formula>
    </cfRule>
  </conditionalFormatting>
  <conditionalFormatting sqref="A1:Z1">
    <cfRule type="expression" dxfId="121" priority="85" stopIfTrue="1">
      <formula>$G$4=0</formula>
    </cfRule>
  </conditionalFormatting>
  <dataValidations count="2">
    <dataValidation allowBlank="1" sqref="S18:Y20 C12:P12"/>
    <dataValidation type="custom" allowBlank="1" showErrorMessage="1" errorTitle="Number less than 0" error="You are trying to enter a number which is less than 0, please re-enter a valid number." sqref="C13:N14">
      <formula1>C13&gt;=0</formula1>
    </dataValidation>
  </dataValidations>
  <printOptions horizontalCentered="1" verticalCentered="1"/>
  <pageMargins left="0.19685039370078741" right="0.19685039370078741" top="0.19685039370078741" bottom="0.23622047244094491" header="0.19685039370078741" footer="0.15748031496062992"/>
  <pageSetup paperSize="9"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2" zoomScale="80" zoomScaleNormal="80" workbookViewId="0">
      <selection activeCell="A2" sqref="A2"/>
    </sheetView>
  </sheetViews>
  <sheetFormatPr defaultColWidth="9.140625" defaultRowHeight="15"/>
  <cols>
    <col min="1" max="1" width="2.7109375" style="1405" customWidth="1"/>
    <col min="2" max="2" width="24.7109375" style="1405" customWidth="1"/>
    <col min="3" max="5" width="16.7109375" style="1405" customWidth="1"/>
    <col min="6" max="6" width="14.7109375" style="1405" customWidth="1"/>
    <col min="7" max="16384" width="9.140625" style="1405"/>
  </cols>
  <sheetData>
    <row r="1" spans="1:6" ht="39.950000000000003" customHeight="1">
      <c r="A1" s="534"/>
      <c r="B1" s="579" t="str">
        <f>IF(E4=0,"Your Institution Does Not Complete This Table","")</f>
        <v/>
      </c>
      <c r="C1" s="42"/>
      <c r="D1" s="42"/>
      <c r="E1" s="42"/>
      <c r="F1" s="42"/>
    </row>
    <row r="2" spans="1:6" ht="30" customHeight="1">
      <c r="A2" s="1020"/>
      <c r="B2" s="865" t="s">
        <v>363</v>
      </c>
      <c r="C2" s="45"/>
      <c r="D2" s="45"/>
      <c r="E2" s="45"/>
      <c r="F2" s="670"/>
    </row>
    <row r="3" spans="1:6" ht="15" customHeight="1">
      <c r="A3" s="882"/>
      <c r="B3" s="187"/>
      <c r="C3" s="198"/>
      <c r="D3" s="198"/>
      <c r="E3" s="198"/>
      <c r="F3" s="199"/>
    </row>
    <row r="4" spans="1:6" ht="35.1" customHeight="1">
      <c r="A4" s="882"/>
      <c r="B4" s="1046" t="s">
        <v>0</v>
      </c>
      <c r="C4" s="1718" t="str">
        <f>Background!$D$2</f>
        <v>Glasgow, University of</v>
      </c>
      <c r="D4" s="1738"/>
      <c r="E4" s="200">
        <f>VLOOKUP(Background!$C$2,Inst_Tables,5,FALSE)</f>
        <v>1</v>
      </c>
      <c r="F4" s="201"/>
    </row>
    <row r="5" spans="1:6" ht="35.1" customHeight="1">
      <c r="A5" s="882"/>
      <c r="B5" s="1047" t="s">
        <v>349</v>
      </c>
      <c r="C5" s="202"/>
      <c r="D5" s="69"/>
      <c r="E5" s="69"/>
      <c r="F5" s="204"/>
    </row>
    <row r="6" spans="1:6" ht="30" customHeight="1">
      <c r="A6" s="882"/>
      <c r="B6" s="1037" t="s">
        <v>431</v>
      </c>
      <c r="C6" s="202"/>
      <c r="D6" s="69"/>
      <c r="E6" s="69"/>
      <c r="F6" s="204"/>
    </row>
    <row r="7" spans="1:6" ht="15" customHeight="1" thickBot="1">
      <c r="A7" s="882"/>
      <c r="B7" s="1037"/>
      <c r="C7" s="202"/>
      <c r="D7" s="69"/>
      <c r="E7" s="69"/>
      <c r="F7" s="204"/>
    </row>
    <row r="8" spans="1:6" ht="60" customHeight="1">
      <c r="A8" s="882"/>
      <c r="B8" s="1048"/>
      <c r="C8" s="1728" t="s">
        <v>418</v>
      </c>
      <c r="D8" s="1728"/>
      <c r="E8" s="1739"/>
      <c r="F8" s="77"/>
    </row>
    <row r="9" spans="1:6" ht="39.950000000000003" customHeight="1">
      <c r="A9" s="882"/>
      <c r="B9" s="1049" t="s">
        <v>26</v>
      </c>
      <c r="C9" s="216" t="s">
        <v>409</v>
      </c>
      <c r="D9" s="162" t="s">
        <v>410</v>
      </c>
      <c r="E9" s="59" t="s">
        <v>2</v>
      </c>
      <c r="F9" s="77"/>
    </row>
    <row r="10" spans="1:6" ht="30" customHeight="1">
      <c r="A10" s="882"/>
      <c r="B10" s="1050"/>
      <c r="C10" s="213" t="s">
        <v>27</v>
      </c>
      <c r="D10" s="214" t="s">
        <v>27</v>
      </c>
      <c r="E10" s="215" t="s">
        <v>27</v>
      </c>
      <c r="F10" s="77"/>
    </row>
    <row r="11" spans="1:6" ht="30" customHeight="1">
      <c r="A11" s="882"/>
      <c r="B11" s="1051"/>
      <c r="C11" s="213" t="s">
        <v>31</v>
      </c>
      <c r="D11" s="214" t="s">
        <v>31</v>
      </c>
      <c r="E11" s="215" t="s">
        <v>3</v>
      </c>
      <c r="F11" s="77"/>
    </row>
    <row r="12" spans="1:6" ht="30" customHeight="1" thickBot="1">
      <c r="A12" s="882"/>
      <c r="B12" s="1052"/>
      <c r="C12" s="1599">
        <v>1</v>
      </c>
      <c r="D12" s="1599">
        <v>2</v>
      </c>
      <c r="E12" s="1600">
        <v>3</v>
      </c>
      <c r="F12" s="77"/>
    </row>
    <row r="13" spans="1:6" ht="35.1" customHeight="1">
      <c r="A13" s="882"/>
      <c r="B13" s="1053" t="s">
        <v>19</v>
      </c>
      <c r="C13" s="211">
        <v>421</v>
      </c>
      <c r="D13" s="212">
        <v>43</v>
      </c>
      <c r="E13" s="205">
        <f>SUM(C13,D13)</f>
        <v>464</v>
      </c>
      <c r="F13" s="60"/>
    </row>
    <row r="14" spans="1:6" ht="35.1" customHeight="1">
      <c r="A14" s="882"/>
      <c r="B14" s="1054" t="s">
        <v>20</v>
      </c>
      <c r="C14" s="211">
        <v>73</v>
      </c>
      <c r="D14" s="212">
        <v>25</v>
      </c>
      <c r="E14" s="205">
        <f>SUM(C14,D14)</f>
        <v>98</v>
      </c>
      <c r="F14" s="60"/>
    </row>
    <row r="15" spans="1:6" ht="35.1" customHeight="1" thickBot="1">
      <c r="A15" s="882"/>
      <c r="B15" s="1055" t="s">
        <v>2</v>
      </c>
      <c r="C15" s="206">
        <f>SUM(C13:C14)</f>
        <v>494</v>
      </c>
      <c r="D15" s="206">
        <f>SUM(D13:D14)</f>
        <v>68</v>
      </c>
      <c r="E15" s="207">
        <f>SUM(E13:E14)</f>
        <v>562</v>
      </c>
      <c r="F15" s="60"/>
    </row>
    <row r="16" spans="1:6" ht="24.95" customHeight="1">
      <c r="A16" s="907"/>
      <c r="B16" s="208"/>
      <c r="C16" s="208"/>
      <c r="D16" s="209"/>
      <c r="E16" s="209"/>
      <c r="F16" s="210"/>
    </row>
    <row r="17" spans="2:10" s="1419" customFormat="1" ht="12" customHeight="1">
      <c r="B17" s="1420"/>
    </row>
    <row r="18" spans="2:10">
      <c r="D18" s="1418"/>
      <c r="E18" s="1418"/>
      <c r="F18" s="1418"/>
      <c r="G18" s="1418"/>
      <c r="H18" s="1418"/>
      <c r="I18" s="1418"/>
      <c r="J18" s="1418"/>
    </row>
    <row r="19" spans="2:10">
      <c r="D19" s="1418"/>
      <c r="E19" s="1418"/>
      <c r="F19" s="1418"/>
      <c r="G19" s="1418"/>
      <c r="H19" s="1418"/>
      <c r="I19" s="1418"/>
      <c r="J19" s="1418"/>
    </row>
    <row r="20" spans="2:10">
      <c r="D20" s="1418"/>
      <c r="E20" s="1418"/>
      <c r="F20" s="1418"/>
      <c r="G20" s="1418"/>
      <c r="H20" s="1418"/>
      <c r="I20" s="1418"/>
      <c r="J20" s="1418"/>
    </row>
    <row r="25" spans="2:10" ht="12.75" customHeight="1"/>
  </sheetData>
  <sheetProtection password="E23E" sheet="1" objects="1" scenarios="1"/>
  <mergeCells count="2">
    <mergeCell ref="C8:E8"/>
    <mergeCell ref="C4:D4"/>
  </mergeCells>
  <conditionalFormatting sqref="B2">
    <cfRule type="expression" dxfId="120" priority="1" stopIfTrue="1">
      <formula>#REF!=0</formula>
    </cfRule>
  </conditionalFormatting>
  <conditionalFormatting sqref="A1:F1">
    <cfRule type="expression" dxfId="119" priority="86" stopIfTrue="1">
      <formula>$E$4=0</formula>
    </cfRule>
  </conditionalFormatting>
  <conditionalFormatting sqref="C13:D14">
    <cfRule type="expression" dxfId="118" priority="88" stopIfTrue="1">
      <formula>$E$4=0</formula>
    </cfRule>
  </conditionalFormatting>
  <dataValidations count="1">
    <dataValidation type="custom" allowBlank="1" showErrorMessage="1" errorTitle="Number less than 0" error="You are trying to enter a number which is less than 0, please re-enter a valid number." sqref="C13:D14">
      <formula1>C13&gt;=0</formula1>
    </dataValidation>
  </dataValidations>
  <printOptions horizontalCentered="1" verticalCentered="1"/>
  <pageMargins left="0.2" right="0.19" top="0.2" bottom="0.25" header="0.17" footer="0.1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1"/>
  <sheetViews>
    <sheetView zoomScale="70" zoomScaleNormal="70" workbookViewId="0"/>
  </sheetViews>
  <sheetFormatPr defaultColWidth="9.140625" defaultRowHeight="15"/>
  <cols>
    <col min="1" max="1" width="2.7109375" style="1405" customWidth="1"/>
    <col min="2" max="2" width="35.7109375" style="1405" customWidth="1"/>
    <col min="3" max="21" width="12.7109375" style="1405" customWidth="1"/>
    <col min="22" max="22" width="15.7109375" style="1405" customWidth="1"/>
    <col min="23" max="24" width="13.7109375" style="1405" customWidth="1"/>
    <col min="25" max="25" width="15.7109375" style="1405" customWidth="1"/>
    <col min="26" max="27" width="4.7109375" style="1405" customWidth="1"/>
    <col min="28" max="29" width="14.7109375" style="1405" customWidth="1"/>
    <col min="30" max="30" width="29.7109375" style="1405" customWidth="1"/>
    <col min="31" max="31" width="5.7109375" style="1405" customWidth="1"/>
    <col min="32" max="16384" width="9.140625" style="1405"/>
  </cols>
  <sheetData>
    <row r="1" spans="1:31" ht="39.950000000000003" customHeight="1">
      <c r="A1" s="534"/>
      <c r="B1" s="579" t="str">
        <f>IF(G4=0,"Your Institution Does Not Complete This Table","")</f>
        <v/>
      </c>
      <c r="C1" s="42"/>
      <c r="D1" s="42"/>
      <c r="E1" s="42"/>
      <c r="F1" s="42"/>
      <c r="G1" s="42"/>
      <c r="H1" s="42"/>
      <c r="I1" s="42"/>
      <c r="J1" s="42"/>
      <c r="K1" s="42"/>
      <c r="L1" s="42"/>
      <c r="M1" s="42"/>
      <c r="N1" s="42"/>
      <c r="O1" s="42"/>
      <c r="P1" s="42"/>
      <c r="Q1" s="42"/>
      <c r="R1" s="42"/>
      <c r="S1" s="42"/>
      <c r="T1" s="42"/>
      <c r="U1" s="42"/>
      <c r="V1" s="42"/>
      <c r="W1" s="42"/>
      <c r="X1" s="42"/>
      <c r="Y1" s="42"/>
      <c r="Z1" s="42"/>
      <c r="AA1" s="42"/>
      <c r="AB1" s="43"/>
      <c r="AC1" s="42"/>
      <c r="AD1" s="42"/>
      <c r="AE1" s="42"/>
    </row>
    <row r="2" spans="1:31" ht="30" customHeight="1">
      <c r="A2" s="1020"/>
      <c r="B2" s="865" t="s">
        <v>364</v>
      </c>
      <c r="C2" s="157"/>
      <c r="D2" s="157"/>
      <c r="E2" s="157"/>
      <c r="F2" s="157"/>
      <c r="G2" s="157"/>
      <c r="H2" s="157"/>
      <c r="I2" s="157"/>
      <c r="J2" s="157"/>
      <c r="K2" s="157"/>
      <c r="L2" s="157"/>
      <c r="M2" s="157"/>
      <c r="N2" s="157"/>
      <c r="O2" s="157"/>
      <c r="P2" s="158"/>
      <c r="Q2" s="158"/>
      <c r="R2" s="158"/>
      <c r="S2" s="158"/>
      <c r="T2" s="158"/>
      <c r="U2" s="158"/>
      <c r="V2" s="158"/>
      <c r="W2" s="158"/>
      <c r="X2" s="158"/>
      <c r="Y2" s="158"/>
      <c r="Z2" s="197"/>
      <c r="AA2" s="69"/>
      <c r="AB2" s="65"/>
      <c r="AC2" s="48"/>
      <c r="AD2" s="48"/>
      <c r="AE2" s="48"/>
    </row>
    <row r="3" spans="1:31" ht="15" customHeight="1">
      <c r="A3" s="1081"/>
      <c r="B3" s="1035"/>
      <c r="C3" s="49"/>
      <c r="D3" s="49"/>
      <c r="E3" s="49"/>
      <c r="F3" s="49"/>
      <c r="G3" s="49"/>
      <c r="H3" s="49"/>
      <c r="I3" s="49"/>
      <c r="J3" s="49"/>
      <c r="K3" s="49"/>
      <c r="L3" s="49"/>
      <c r="M3" s="49"/>
      <c r="N3" s="49"/>
      <c r="O3" s="49"/>
      <c r="P3" s="49"/>
      <c r="Q3" s="49"/>
      <c r="R3" s="49"/>
      <c r="S3" s="49"/>
      <c r="T3" s="49"/>
      <c r="U3" s="49"/>
      <c r="V3" s="49"/>
      <c r="W3" s="49"/>
      <c r="X3" s="49"/>
      <c r="Y3" s="49"/>
      <c r="Z3" s="1132"/>
      <c r="AA3" s="69"/>
      <c r="AB3" s="65"/>
      <c r="AC3" s="48"/>
      <c r="AD3" s="48"/>
      <c r="AE3" s="48"/>
    </row>
    <row r="4" spans="1:31" ht="35.1" customHeight="1">
      <c r="A4" s="1081"/>
      <c r="B4" s="1070" t="s">
        <v>0</v>
      </c>
      <c r="C4" s="1737" t="str">
        <f>Background!$D$2</f>
        <v>Glasgow, University of</v>
      </c>
      <c r="D4" s="1719"/>
      <c r="E4" s="1719"/>
      <c r="F4" s="1738"/>
      <c r="G4" s="1128">
        <f>VLOOKUP(Background!$C$2,Inst_Tables,6,FALSE)</f>
        <v>1</v>
      </c>
      <c r="H4" s="530"/>
      <c r="I4" s="49"/>
      <c r="J4" s="49"/>
      <c r="K4" s="49"/>
      <c r="L4" s="49"/>
      <c r="M4" s="49"/>
      <c r="N4" s="49"/>
      <c r="O4" s="49"/>
      <c r="P4" s="49"/>
      <c r="Q4" s="49"/>
      <c r="R4" s="49"/>
      <c r="S4" s="49"/>
      <c r="T4" s="49"/>
      <c r="U4" s="49"/>
      <c r="V4" s="49"/>
      <c r="W4" s="49"/>
      <c r="X4" s="49"/>
      <c r="Y4" s="49"/>
      <c r="Z4" s="1132"/>
      <c r="AA4" s="69"/>
      <c r="AB4" s="65"/>
      <c r="AC4" s="48"/>
      <c r="AD4" s="48"/>
      <c r="AE4" s="48"/>
    </row>
    <row r="5" spans="1:31" ht="30" customHeight="1">
      <c r="A5" s="1081"/>
      <c r="B5" s="1036" t="s">
        <v>365</v>
      </c>
      <c r="C5" s="69"/>
      <c r="D5" s="69"/>
      <c r="E5" s="69"/>
      <c r="F5" s="69"/>
      <c r="G5" s="69"/>
      <c r="H5" s="69"/>
      <c r="I5" s="69"/>
      <c r="J5" s="69"/>
      <c r="K5" s="69"/>
      <c r="L5" s="69"/>
      <c r="M5" s="69"/>
      <c r="N5" s="69"/>
      <c r="O5" s="69"/>
      <c r="P5" s="69"/>
      <c r="Q5" s="69"/>
      <c r="R5" s="69"/>
      <c r="S5" s="69"/>
      <c r="T5" s="69"/>
      <c r="U5" s="69"/>
      <c r="V5" s="69"/>
      <c r="W5" s="69"/>
      <c r="X5" s="69"/>
      <c r="Y5" s="69"/>
      <c r="Z5" s="77"/>
      <c r="AA5" s="69"/>
      <c r="AB5" s="65"/>
      <c r="AC5" s="48"/>
      <c r="AD5" s="48"/>
      <c r="AE5" s="48"/>
    </row>
    <row r="6" spans="1:31" ht="30" customHeight="1">
      <c r="A6" s="1081"/>
      <c r="B6" s="1037" t="s">
        <v>432</v>
      </c>
      <c r="C6" s="69"/>
      <c r="D6" s="69"/>
      <c r="E6" s="69"/>
      <c r="F6" s="69"/>
      <c r="G6" s="69"/>
      <c r="H6" s="69"/>
      <c r="I6" s="69"/>
      <c r="J6" s="69"/>
      <c r="K6" s="69"/>
      <c r="L6" s="69"/>
      <c r="M6" s="69"/>
      <c r="N6" s="69"/>
      <c r="O6" s="69"/>
      <c r="P6" s="69"/>
      <c r="Q6" s="69"/>
      <c r="R6" s="69"/>
      <c r="S6" s="69"/>
      <c r="T6" s="69"/>
      <c r="U6" s="69"/>
      <c r="V6" s="69"/>
      <c r="W6" s="69"/>
      <c r="X6" s="69"/>
      <c r="Y6" s="69"/>
      <c r="Z6" s="77"/>
      <c r="AA6" s="69"/>
      <c r="AB6" s="69"/>
      <c r="AC6" s="69"/>
      <c r="AD6" s="69"/>
      <c r="AE6" s="69"/>
    </row>
    <row r="7" spans="1:31" ht="15" customHeight="1" thickBot="1">
      <c r="A7" s="1081"/>
      <c r="B7" s="1037"/>
      <c r="C7" s="69"/>
      <c r="D7" s="69"/>
      <c r="E7" s="69"/>
      <c r="F7" s="69"/>
      <c r="G7" s="69"/>
      <c r="H7" s="69"/>
      <c r="I7" s="69"/>
      <c r="J7" s="69"/>
      <c r="K7" s="69"/>
      <c r="L7" s="69"/>
      <c r="M7" s="69"/>
      <c r="N7" s="69"/>
      <c r="O7" s="69"/>
      <c r="P7" s="69"/>
      <c r="Q7" s="69"/>
      <c r="R7" s="69"/>
      <c r="S7" s="69"/>
      <c r="T7" s="69"/>
      <c r="U7" s="69"/>
      <c r="V7" s="69"/>
      <c r="W7" s="69"/>
      <c r="X7" s="69"/>
      <c r="Y7" s="69"/>
      <c r="Z7" s="77"/>
      <c r="AA7" s="69"/>
      <c r="AB7" s="65"/>
      <c r="AC7" s="48"/>
      <c r="AD7" s="48"/>
      <c r="AE7" s="48"/>
    </row>
    <row r="8" spans="1:31" ht="35.1" customHeight="1">
      <c r="A8" s="1081"/>
      <c r="B8" s="1088"/>
      <c r="C8" s="1176" t="s">
        <v>295</v>
      </c>
      <c r="D8" s="1747" t="s">
        <v>296</v>
      </c>
      <c r="E8" s="1733"/>
      <c r="F8" s="1733"/>
      <c r="G8" s="1733"/>
      <c r="H8" s="1733"/>
      <c r="I8" s="1733"/>
      <c r="J8" s="1733"/>
      <c r="K8" s="1733"/>
      <c r="L8" s="1733"/>
      <c r="M8" s="1733"/>
      <c r="N8" s="1733"/>
      <c r="O8" s="1733"/>
      <c r="P8" s="1733"/>
      <c r="Q8" s="1733"/>
      <c r="R8" s="1733"/>
      <c r="S8" s="1733"/>
      <c r="T8" s="1733"/>
      <c r="U8" s="1733"/>
      <c r="V8" s="1733"/>
      <c r="W8" s="1734"/>
      <c r="X8" s="1090" t="s">
        <v>2</v>
      </c>
      <c r="Y8" s="1740" t="s">
        <v>306</v>
      </c>
      <c r="Z8" s="1133"/>
      <c r="AA8" s="69"/>
      <c r="AB8" s="65"/>
      <c r="AC8" s="48"/>
      <c r="AD8" s="48"/>
      <c r="AE8" s="48"/>
    </row>
    <row r="9" spans="1:31" ht="50.1" customHeight="1">
      <c r="A9" s="1081"/>
      <c r="B9" s="1085" t="s">
        <v>275</v>
      </c>
      <c r="C9" s="1096"/>
      <c r="D9" s="1098" t="s">
        <v>276</v>
      </c>
      <c r="E9" s="57" t="s">
        <v>277</v>
      </c>
      <c r="F9" s="162" t="s">
        <v>297</v>
      </c>
      <c r="G9" s="57" t="s">
        <v>279</v>
      </c>
      <c r="H9" s="57" t="s">
        <v>280</v>
      </c>
      <c r="I9" s="57" t="s">
        <v>281</v>
      </c>
      <c r="J9" s="57" t="s">
        <v>282</v>
      </c>
      <c r="K9" s="57" t="s">
        <v>283</v>
      </c>
      <c r="L9" s="57" t="s">
        <v>284</v>
      </c>
      <c r="M9" s="57" t="s">
        <v>285</v>
      </c>
      <c r="N9" s="162" t="s">
        <v>301</v>
      </c>
      <c r="O9" s="162" t="s">
        <v>303</v>
      </c>
      <c r="P9" s="162" t="s">
        <v>302</v>
      </c>
      <c r="Q9" s="162" t="s">
        <v>300</v>
      </c>
      <c r="R9" s="57" t="s">
        <v>290</v>
      </c>
      <c r="S9" s="162" t="s">
        <v>298</v>
      </c>
      <c r="T9" s="57" t="s">
        <v>294</v>
      </c>
      <c r="U9" s="162" t="s">
        <v>299</v>
      </c>
      <c r="V9" s="863" t="s">
        <v>305</v>
      </c>
      <c r="W9" s="1110" t="s">
        <v>304</v>
      </c>
      <c r="X9" s="1089"/>
      <c r="Y9" s="1741"/>
      <c r="Z9" s="1086"/>
      <c r="AA9" s="69"/>
      <c r="AB9" s="65"/>
      <c r="AC9" s="48"/>
      <c r="AD9" s="48"/>
      <c r="AE9" s="48"/>
    </row>
    <row r="10" spans="1:31" ht="30" customHeight="1">
      <c r="A10" s="1081"/>
      <c r="B10" s="1091"/>
      <c r="C10" s="1096" t="s">
        <v>18</v>
      </c>
      <c r="D10" s="1099" t="s">
        <v>18</v>
      </c>
      <c r="E10" s="214" t="s">
        <v>18</v>
      </c>
      <c r="F10" s="214" t="s">
        <v>18</v>
      </c>
      <c r="G10" s="214" t="s">
        <v>18</v>
      </c>
      <c r="H10" s="214" t="s">
        <v>18</v>
      </c>
      <c r="I10" s="214" t="s">
        <v>18</v>
      </c>
      <c r="J10" s="214" t="s">
        <v>18</v>
      </c>
      <c r="K10" s="214" t="s">
        <v>18</v>
      </c>
      <c r="L10" s="214" t="s">
        <v>18</v>
      </c>
      <c r="M10" s="214" t="s">
        <v>18</v>
      </c>
      <c r="N10" s="214" t="s">
        <v>18</v>
      </c>
      <c r="O10" s="214" t="s">
        <v>18</v>
      </c>
      <c r="P10" s="214" t="s">
        <v>18</v>
      </c>
      <c r="Q10" s="214" t="s">
        <v>18</v>
      </c>
      <c r="R10" s="214" t="s">
        <v>18</v>
      </c>
      <c r="S10" s="214" t="s">
        <v>18</v>
      </c>
      <c r="T10" s="214" t="s">
        <v>18</v>
      </c>
      <c r="U10" s="214" t="s">
        <v>18</v>
      </c>
      <c r="V10" s="215" t="s">
        <v>18</v>
      </c>
      <c r="W10" s="1097" t="s">
        <v>18</v>
      </c>
      <c r="X10" s="1097" t="s">
        <v>18</v>
      </c>
      <c r="Y10" s="1136" t="s">
        <v>18</v>
      </c>
      <c r="Z10" s="1086"/>
      <c r="AA10" s="105"/>
      <c r="AB10" s="65"/>
      <c r="AC10" s="927"/>
      <c r="AD10" s="927"/>
      <c r="AE10" s="927"/>
    </row>
    <row r="11" spans="1:31" ht="35.1" customHeight="1">
      <c r="A11" s="1081"/>
      <c r="B11" s="1091"/>
      <c r="C11" s="1096" t="s">
        <v>31</v>
      </c>
      <c r="D11" s="1100" t="s">
        <v>31</v>
      </c>
      <c r="E11" s="62" t="s">
        <v>31</v>
      </c>
      <c r="F11" s="1087" t="s">
        <v>31</v>
      </c>
      <c r="G11" s="62" t="s">
        <v>31</v>
      </c>
      <c r="H11" s="1087" t="s">
        <v>31</v>
      </c>
      <c r="I11" s="62" t="s">
        <v>31</v>
      </c>
      <c r="J11" s="1087" t="s">
        <v>31</v>
      </c>
      <c r="K11" s="62" t="s">
        <v>31</v>
      </c>
      <c r="L11" s="1087" t="s">
        <v>31</v>
      </c>
      <c r="M11" s="62" t="s">
        <v>31</v>
      </c>
      <c r="N11" s="1087" t="s">
        <v>31</v>
      </c>
      <c r="O11" s="62" t="s">
        <v>31</v>
      </c>
      <c r="P11" s="62" t="s">
        <v>31</v>
      </c>
      <c r="Q11" s="62" t="s">
        <v>31</v>
      </c>
      <c r="R11" s="62" t="s">
        <v>31</v>
      </c>
      <c r="S11" s="62" t="s">
        <v>31</v>
      </c>
      <c r="T11" s="62" t="s">
        <v>31</v>
      </c>
      <c r="U11" s="62" t="s">
        <v>31</v>
      </c>
      <c r="V11" s="63" t="s">
        <v>31</v>
      </c>
      <c r="W11" s="1089" t="s">
        <v>131</v>
      </c>
      <c r="X11" s="1089" t="s">
        <v>131</v>
      </c>
      <c r="Y11" s="1137" t="s">
        <v>131</v>
      </c>
      <c r="Z11" s="1086"/>
      <c r="AA11" s="105"/>
      <c r="AB11" s="65"/>
      <c r="AC11" s="927"/>
      <c r="AD11" s="927"/>
      <c r="AE11" s="927"/>
    </row>
    <row r="12" spans="1:31" ht="30" customHeight="1" thickBot="1">
      <c r="A12" s="1081"/>
      <c r="B12" s="1092"/>
      <c r="C12" s="1475">
        <v>1</v>
      </c>
      <c r="D12" s="1473">
        <v>2</v>
      </c>
      <c r="E12" s="1471">
        <v>3</v>
      </c>
      <c r="F12" s="1471">
        <v>4</v>
      </c>
      <c r="G12" s="1471">
        <v>5</v>
      </c>
      <c r="H12" s="1471">
        <v>6</v>
      </c>
      <c r="I12" s="1471">
        <v>7</v>
      </c>
      <c r="J12" s="1471">
        <v>8</v>
      </c>
      <c r="K12" s="1471">
        <v>9</v>
      </c>
      <c r="L12" s="1471">
        <v>10</v>
      </c>
      <c r="M12" s="1471">
        <v>11</v>
      </c>
      <c r="N12" s="1471">
        <v>12</v>
      </c>
      <c r="O12" s="1471">
        <v>13</v>
      </c>
      <c r="P12" s="1471">
        <v>14</v>
      </c>
      <c r="Q12" s="1471">
        <v>15</v>
      </c>
      <c r="R12" s="1471">
        <v>16</v>
      </c>
      <c r="S12" s="1471">
        <v>17</v>
      </c>
      <c r="T12" s="1471">
        <v>18</v>
      </c>
      <c r="U12" s="1471">
        <v>19</v>
      </c>
      <c r="V12" s="1474">
        <v>20</v>
      </c>
      <c r="W12" s="1601">
        <v>21</v>
      </c>
      <c r="X12" s="1475">
        <v>22</v>
      </c>
      <c r="Y12" s="1475">
        <v>23</v>
      </c>
      <c r="Z12" s="1134"/>
      <c r="AA12" s="105"/>
      <c r="AB12" s="65"/>
      <c r="AC12" s="927"/>
      <c r="AD12" s="927"/>
      <c r="AE12" s="927"/>
    </row>
    <row r="13" spans="1:31" ht="24.95" customHeight="1">
      <c r="A13" s="1081"/>
      <c r="B13" s="1093" t="s">
        <v>276</v>
      </c>
      <c r="C13" s="1115">
        <v>18</v>
      </c>
      <c r="D13" s="1101"/>
      <c r="E13" s="1117"/>
      <c r="F13" s="1118"/>
      <c r="G13" s="1119"/>
      <c r="H13" s="1117"/>
      <c r="I13" s="1117"/>
      <c r="J13" s="1118"/>
      <c r="K13" s="1119"/>
      <c r="L13" s="1117"/>
      <c r="M13" s="1117"/>
      <c r="N13" s="1120"/>
      <c r="O13" s="1121"/>
      <c r="P13" s="1121"/>
      <c r="Q13" s="1121"/>
      <c r="R13" s="1121"/>
      <c r="S13" s="1121"/>
      <c r="T13" s="1121"/>
      <c r="U13" s="1121"/>
      <c r="V13" s="1122"/>
      <c r="W13" s="1145">
        <f>SUM(D13:V13)</f>
        <v>0</v>
      </c>
      <c r="X13" s="1144">
        <f>SUM(C13,W13)</f>
        <v>18</v>
      </c>
      <c r="Y13" s="1130">
        <f>C13+$D$32+W13</f>
        <v>18</v>
      </c>
      <c r="Z13" s="1135"/>
      <c r="AA13" s="69"/>
      <c r="AB13" s="65"/>
      <c r="AC13" s="927"/>
      <c r="AD13" s="927"/>
      <c r="AE13" s="927"/>
    </row>
    <row r="14" spans="1:31" ht="24.95" customHeight="1">
      <c r="A14" s="1081"/>
      <c r="B14" s="1094" t="s">
        <v>277</v>
      </c>
      <c r="C14" s="1116">
        <v>8</v>
      </c>
      <c r="D14" s="1111"/>
      <c r="E14" s="1102"/>
      <c r="F14" s="82"/>
      <c r="G14" s="82"/>
      <c r="H14" s="82"/>
      <c r="I14" s="82"/>
      <c r="J14" s="82"/>
      <c r="K14" s="82"/>
      <c r="L14" s="82"/>
      <c r="M14" s="82"/>
      <c r="N14" s="82"/>
      <c r="O14" s="1123"/>
      <c r="P14" s="1123"/>
      <c r="Q14" s="1123"/>
      <c r="R14" s="1123"/>
      <c r="S14" s="1123"/>
      <c r="T14" s="1123"/>
      <c r="U14" s="1123"/>
      <c r="V14" s="1124"/>
      <c r="W14" s="1146">
        <f t="shared" ref="W14:W31" si="0">SUM(D14:V14)</f>
        <v>0</v>
      </c>
      <c r="X14" s="1144">
        <f t="shared" ref="X14:X31" si="1">SUM(C14,W14)</f>
        <v>8</v>
      </c>
      <c r="Y14" s="1131">
        <f>C14+$E$32+W14</f>
        <v>8</v>
      </c>
      <c r="Z14" s="1135"/>
      <c r="AA14" s="69"/>
      <c r="AB14" s="65"/>
      <c r="AC14" s="927"/>
      <c r="AD14" s="927"/>
      <c r="AE14" s="927"/>
    </row>
    <row r="15" spans="1:31" ht="24.95" customHeight="1">
      <c r="A15" s="1081"/>
      <c r="B15" s="1094" t="s">
        <v>278</v>
      </c>
      <c r="C15" s="1116">
        <v>17</v>
      </c>
      <c r="D15" s="1111"/>
      <c r="E15" s="1102"/>
      <c r="F15" s="1105"/>
      <c r="G15" s="82"/>
      <c r="H15" s="82"/>
      <c r="I15" s="82"/>
      <c r="J15" s="82"/>
      <c r="K15" s="82"/>
      <c r="L15" s="82"/>
      <c r="M15" s="82"/>
      <c r="N15" s="82"/>
      <c r="O15" s="1123"/>
      <c r="P15" s="1123"/>
      <c r="Q15" s="1123"/>
      <c r="R15" s="1123"/>
      <c r="S15" s="1123"/>
      <c r="T15" s="1123"/>
      <c r="U15" s="1123"/>
      <c r="V15" s="1124"/>
      <c r="W15" s="1125">
        <f>SUM(D15:V15)</f>
        <v>0</v>
      </c>
      <c r="X15" s="1144">
        <f t="shared" si="1"/>
        <v>17</v>
      </c>
      <c r="Y15" s="1131">
        <f>C15+$F$32+W15</f>
        <v>17</v>
      </c>
      <c r="Z15" s="1135"/>
      <c r="AA15" s="69"/>
      <c r="AB15" s="65"/>
      <c r="AC15" s="927"/>
      <c r="AD15" s="927"/>
      <c r="AE15" s="927"/>
    </row>
    <row r="16" spans="1:31" ht="24.95" customHeight="1">
      <c r="A16" s="1081"/>
      <c r="B16" s="1094" t="s">
        <v>279</v>
      </c>
      <c r="C16" s="1116">
        <v>7</v>
      </c>
      <c r="D16" s="1111"/>
      <c r="E16" s="1102"/>
      <c r="F16" s="1105"/>
      <c r="G16" s="1102"/>
      <c r="H16" s="82"/>
      <c r="I16" s="82"/>
      <c r="J16" s="82"/>
      <c r="K16" s="82"/>
      <c r="L16" s="82"/>
      <c r="M16" s="82"/>
      <c r="N16" s="82"/>
      <c r="O16" s="1123"/>
      <c r="P16" s="1123"/>
      <c r="Q16" s="1123"/>
      <c r="R16" s="1123"/>
      <c r="S16" s="1123"/>
      <c r="T16" s="1123"/>
      <c r="U16" s="1123"/>
      <c r="V16" s="1124"/>
      <c r="W16" s="1146">
        <f t="shared" si="0"/>
        <v>0</v>
      </c>
      <c r="X16" s="1144">
        <f t="shared" si="1"/>
        <v>7</v>
      </c>
      <c r="Y16" s="1131">
        <f>C16+$G$32+W16</f>
        <v>7</v>
      </c>
      <c r="Z16" s="1135"/>
      <c r="AA16" s="69"/>
      <c r="AB16" s="65"/>
      <c r="AC16" s="927"/>
      <c r="AD16" s="927"/>
      <c r="AE16" s="927"/>
    </row>
    <row r="17" spans="1:31" ht="24.95" customHeight="1">
      <c r="A17" s="1081"/>
      <c r="B17" s="1094" t="s">
        <v>280</v>
      </c>
      <c r="C17" s="1116">
        <v>5</v>
      </c>
      <c r="D17" s="1111"/>
      <c r="E17" s="1102"/>
      <c r="F17" s="1105"/>
      <c r="G17" s="1102"/>
      <c r="H17" s="1105"/>
      <c r="I17" s="82"/>
      <c r="J17" s="82"/>
      <c r="K17" s="82"/>
      <c r="L17" s="82"/>
      <c r="M17" s="82"/>
      <c r="N17" s="82"/>
      <c r="O17" s="1123"/>
      <c r="P17" s="1123"/>
      <c r="Q17" s="1123"/>
      <c r="R17" s="1123"/>
      <c r="S17" s="1123"/>
      <c r="T17" s="1123"/>
      <c r="U17" s="1123"/>
      <c r="V17" s="1124"/>
      <c r="W17" s="1146">
        <f t="shared" si="0"/>
        <v>0</v>
      </c>
      <c r="X17" s="1144">
        <f t="shared" si="1"/>
        <v>5</v>
      </c>
      <c r="Y17" s="1131">
        <f>C17+$H$32+W17</f>
        <v>5</v>
      </c>
      <c r="Z17" s="1135"/>
      <c r="AA17" s="69"/>
      <c r="AB17" s="65"/>
      <c r="AC17" s="927"/>
      <c r="AD17" s="927"/>
      <c r="AE17" s="927"/>
    </row>
    <row r="18" spans="1:31" ht="24.95" customHeight="1">
      <c r="A18" s="1081"/>
      <c r="B18" s="1094" t="s">
        <v>281</v>
      </c>
      <c r="C18" s="1116"/>
      <c r="D18" s="1111"/>
      <c r="E18" s="1102"/>
      <c r="F18" s="1105"/>
      <c r="G18" s="1102"/>
      <c r="H18" s="1105"/>
      <c r="I18" s="1102"/>
      <c r="J18" s="82"/>
      <c r="K18" s="82"/>
      <c r="L18" s="82"/>
      <c r="M18" s="82"/>
      <c r="N18" s="82"/>
      <c r="O18" s="1123"/>
      <c r="P18" s="1123"/>
      <c r="Q18" s="1123"/>
      <c r="R18" s="1123"/>
      <c r="S18" s="1123"/>
      <c r="T18" s="1123"/>
      <c r="U18" s="1123"/>
      <c r="V18" s="1124"/>
      <c r="W18" s="1146">
        <f t="shared" si="0"/>
        <v>0</v>
      </c>
      <c r="X18" s="1144">
        <f t="shared" si="1"/>
        <v>0</v>
      </c>
      <c r="Y18" s="1131">
        <f>C18+$I$32+W18</f>
        <v>0</v>
      </c>
      <c r="Z18" s="1135"/>
      <c r="AA18" s="69"/>
      <c r="AB18" s="65"/>
      <c r="AC18" s="927"/>
      <c r="AD18" s="927"/>
      <c r="AE18" s="927"/>
    </row>
    <row r="19" spans="1:31" ht="24.95" customHeight="1">
      <c r="A19" s="1081"/>
      <c r="B19" s="1094" t="s">
        <v>282</v>
      </c>
      <c r="C19" s="1116">
        <v>24</v>
      </c>
      <c r="D19" s="1111"/>
      <c r="E19" s="1102"/>
      <c r="F19" s="1105"/>
      <c r="G19" s="1102"/>
      <c r="H19" s="1105"/>
      <c r="I19" s="1102"/>
      <c r="J19" s="1105"/>
      <c r="K19" s="82"/>
      <c r="L19" s="82"/>
      <c r="M19" s="82"/>
      <c r="N19" s="82"/>
      <c r="O19" s="1123"/>
      <c r="P19" s="1123"/>
      <c r="Q19" s="1123"/>
      <c r="R19" s="1123"/>
      <c r="S19" s="1123"/>
      <c r="T19" s="1123"/>
      <c r="U19" s="1123"/>
      <c r="V19" s="1124"/>
      <c r="W19" s="1146">
        <f t="shared" si="0"/>
        <v>0</v>
      </c>
      <c r="X19" s="1144">
        <f t="shared" si="1"/>
        <v>24</v>
      </c>
      <c r="Y19" s="1131">
        <f>C19+$J$32+W19</f>
        <v>24</v>
      </c>
      <c r="Z19" s="1135"/>
      <c r="AA19" s="69"/>
      <c r="AB19" s="65"/>
      <c r="AC19" s="927"/>
      <c r="AD19" s="927"/>
      <c r="AE19" s="927"/>
    </row>
    <row r="20" spans="1:31" ht="24.95" customHeight="1">
      <c r="A20" s="1081"/>
      <c r="B20" s="1094" t="s">
        <v>283</v>
      </c>
      <c r="C20" s="1116"/>
      <c r="D20" s="1111"/>
      <c r="E20" s="1102"/>
      <c r="F20" s="1105"/>
      <c r="G20" s="1102"/>
      <c r="H20" s="1105"/>
      <c r="I20" s="1102"/>
      <c r="J20" s="1105"/>
      <c r="K20" s="1102"/>
      <c r="L20" s="82"/>
      <c r="M20" s="82"/>
      <c r="N20" s="82"/>
      <c r="O20" s="1123"/>
      <c r="P20" s="1123"/>
      <c r="Q20" s="1123"/>
      <c r="R20" s="1123"/>
      <c r="S20" s="1123"/>
      <c r="T20" s="1123"/>
      <c r="U20" s="1123"/>
      <c r="V20" s="1124"/>
      <c r="W20" s="1146">
        <f t="shared" si="0"/>
        <v>0</v>
      </c>
      <c r="X20" s="1144">
        <f t="shared" si="1"/>
        <v>0</v>
      </c>
      <c r="Y20" s="1131">
        <f>C20+$K$32+W20</f>
        <v>0</v>
      </c>
      <c r="Z20" s="1135"/>
      <c r="AA20" s="69"/>
      <c r="AB20" s="65"/>
      <c r="AC20" s="927"/>
      <c r="AD20" s="927"/>
      <c r="AE20" s="927"/>
    </row>
    <row r="21" spans="1:31" ht="24.95" customHeight="1">
      <c r="A21" s="1081"/>
      <c r="B21" s="1094" t="s">
        <v>284</v>
      </c>
      <c r="C21" s="1116">
        <v>9</v>
      </c>
      <c r="D21" s="1111"/>
      <c r="E21" s="1102"/>
      <c r="F21" s="1105"/>
      <c r="G21" s="1102"/>
      <c r="H21" s="1105"/>
      <c r="I21" s="1102"/>
      <c r="J21" s="1105"/>
      <c r="K21" s="1102"/>
      <c r="L21" s="1105"/>
      <c r="M21" s="82"/>
      <c r="N21" s="82"/>
      <c r="O21" s="1123"/>
      <c r="P21" s="1123"/>
      <c r="Q21" s="1123"/>
      <c r="R21" s="1123"/>
      <c r="S21" s="1123"/>
      <c r="T21" s="1123"/>
      <c r="U21" s="1123"/>
      <c r="V21" s="1124"/>
      <c r="W21" s="1146">
        <f t="shared" si="0"/>
        <v>0</v>
      </c>
      <c r="X21" s="1144">
        <f t="shared" si="1"/>
        <v>9</v>
      </c>
      <c r="Y21" s="1131">
        <f>C21+$L$32+W21</f>
        <v>9</v>
      </c>
      <c r="Z21" s="1135"/>
      <c r="AA21" s="69"/>
      <c r="AB21" s="65"/>
      <c r="AC21" s="927"/>
      <c r="AD21" s="927"/>
      <c r="AE21" s="927"/>
    </row>
    <row r="22" spans="1:31" ht="24.95" customHeight="1">
      <c r="A22" s="1081"/>
      <c r="B22" s="1094" t="s">
        <v>285</v>
      </c>
      <c r="C22" s="1116">
        <v>8</v>
      </c>
      <c r="D22" s="1111"/>
      <c r="E22" s="1102"/>
      <c r="F22" s="1105"/>
      <c r="G22" s="1102"/>
      <c r="H22" s="1105"/>
      <c r="I22" s="1102"/>
      <c r="J22" s="1105"/>
      <c r="K22" s="1102"/>
      <c r="L22" s="1105"/>
      <c r="M22" s="1102"/>
      <c r="N22" s="82"/>
      <c r="O22" s="1123"/>
      <c r="P22" s="1123"/>
      <c r="Q22" s="1123"/>
      <c r="R22" s="1123"/>
      <c r="S22" s="1123"/>
      <c r="T22" s="1123"/>
      <c r="U22" s="1123"/>
      <c r="V22" s="1124"/>
      <c r="W22" s="1146">
        <f t="shared" si="0"/>
        <v>0</v>
      </c>
      <c r="X22" s="1144">
        <f t="shared" si="1"/>
        <v>8</v>
      </c>
      <c r="Y22" s="1131">
        <f>C22+$M$32+W22</f>
        <v>8</v>
      </c>
      <c r="Z22" s="1135"/>
      <c r="AA22" s="69"/>
      <c r="AB22" s="65"/>
      <c r="AC22" s="927"/>
      <c r="AD22" s="927"/>
      <c r="AE22" s="927"/>
    </row>
    <row r="23" spans="1:31" ht="24.95" customHeight="1">
      <c r="A23" s="1081"/>
      <c r="B23" s="1094" t="s">
        <v>286</v>
      </c>
      <c r="C23" s="1116"/>
      <c r="D23" s="1111"/>
      <c r="E23" s="1102"/>
      <c r="F23" s="1105"/>
      <c r="G23" s="1102"/>
      <c r="H23" s="1105"/>
      <c r="I23" s="1102"/>
      <c r="J23" s="1105"/>
      <c r="K23" s="1102"/>
      <c r="L23" s="1105"/>
      <c r="M23" s="1102"/>
      <c r="N23" s="1105"/>
      <c r="O23" s="1123"/>
      <c r="P23" s="1123"/>
      <c r="Q23" s="1123"/>
      <c r="R23" s="1123"/>
      <c r="S23" s="1123"/>
      <c r="T23" s="1123"/>
      <c r="U23" s="1123"/>
      <c r="V23" s="1124"/>
      <c r="W23" s="1146">
        <f t="shared" si="0"/>
        <v>0</v>
      </c>
      <c r="X23" s="1144">
        <f t="shared" si="1"/>
        <v>0</v>
      </c>
      <c r="Y23" s="1131">
        <f>C23+$N$32+W23</f>
        <v>0</v>
      </c>
      <c r="Z23" s="1135"/>
      <c r="AA23" s="69"/>
      <c r="AB23" s="65"/>
      <c r="AC23" s="927"/>
      <c r="AD23" s="927"/>
      <c r="AE23" s="927"/>
    </row>
    <row r="24" spans="1:31" ht="24.95" customHeight="1">
      <c r="A24" s="1081"/>
      <c r="B24" s="1094" t="s">
        <v>287</v>
      </c>
      <c r="C24" s="1116">
        <v>18</v>
      </c>
      <c r="D24" s="1111"/>
      <c r="E24" s="1102"/>
      <c r="F24" s="1105"/>
      <c r="G24" s="1102"/>
      <c r="H24" s="1105"/>
      <c r="I24" s="1102"/>
      <c r="J24" s="1105"/>
      <c r="K24" s="1102"/>
      <c r="L24" s="1105"/>
      <c r="M24" s="1102"/>
      <c r="N24" s="1105"/>
      <c r="O24" s="1107"/>
      <c r="P24" s="1123"/>
      <c r="Q24" s="1123"/>
      <c r="R24" s="1123"/>
      <c r="S24" s="1123"/>
      <c r="T24" s="1123"/>
      <c r="U24" s="1123"/>
      <c r="V24" s="1124"/>
      <c r="W24" s="1146">
        <f t="shared" si="0"/>
        <v>0</v>
      </c>
      <c r="X24" s="1144">
        <f t="shared" si="1"/>
        <v>18</v>
      </c>
      <c r="Y24" s="1131">
        <f>C24+$O$32+W24</f>
        <v>18</v>
      </c>
      <c r="Z24" s="1135"/>
      <c r="AA24" s="69"/>
      <c r="AB24" s="65"/>
      <c r="AC24" s="927"/>
      <c r="AD24" s="927"/>
      <c r="AE24" s="927"/>
    </row>
    <row r="25" spans="1:31" ht="24.95" customHeight="1">
      <c r="A25" s="1081"/>
      <c r="B25" s="1094" t="s">
        <v>288</v>
      </c>
      <c r="C25" s="1116">
        <v>24</v>
      </c>
      <c r="D25" s="1111"/>
      <c r="E25" s="1102"/>
      <c r="F25" s="1103"/>
      <c r="G25" s="1104"/>
      <c r="H25" s="1105"/>
      <c r="I25" s="1102"/>
      <c r="J25" s="1103"/>
      <c r="K25" s="1104"/>
      <c r="L25" s="1105"/>
      <c r="M25" s="1102"/>
      <c r="N25" s="1106"/>
      <c r="O25" s="1107"/>
      <c r="P25" s="1108"/>
      <c r="Q25" s="1123"/>
      <c r="R25" s="1123"/>
      <c r="S25" s="1123"/>
      <c r="T25" s="1123"/>
      <c r="U25" s="1123"/>
      <c r="V25" s="1124"/>
      <c r="W25" s="1146">
        <f t="shared" si="0"/>
        <v>0</v>
      </c>
      <c r="X25" s="1144">
        <f t="shared" si="1"/>
        <v>24</v>
      </c>
      <c r="Y25" s="1131">
        <f>C25+$P$32+W25</f>
        <v>24</v>
      </c>
      <c r="Z25" s="1135"/>
      <c r="AA25" s="69"/>
      <c r="AB25" s="65"/>
      <c r="AC25" s="927"/>
      <c r="AD25" s="927"/>
      <c r="AE25" s="927"/>
    </row>
    <row r="26" spans="1:31" ht="24.95" customHeight="1">
      <c r="A26" s="1081"/>
      <c r="B26" s="1094" t="s">
        <v>289</v>
      </c>
      <c r="C26" s="1116">
        <v>12</v>
      </c>
      <c r="D26" s="1111"/>
      <c r="E26" s="1102"/>
      <c r="F26" s="1103"/>
      <c r="G26" s="1104"/>
      <c r="H26" s="1105"/>
      <c r="I26" s="1102"/>
      <c r="J26" s="1103"/>
      <c r="K26" s="1104"/>
      <c r="L26" s="1105"/>
      <c r="M26" s="1102"/>
      <c r="N26" s="1106"/>
      <c r="O26" s="1107"/>
      <c r="P26" s="1108"/>
      <c r="Q26" s="1108"/>
      <c r="R26" s="1123"/>
      <c r="S26" s="1123"/>
      <c r="T26" s="1123"/>
      <c r="U26" s="1123"/>
      <c r="V26" s="1124"/>
      <c r="W26" s="1146">
        <f t="shared" si="0"/>
        <v>0</v>
      </c>
      <c r="X26" s="1144">
        <f t="shared" si="1"/>
        <v>12</v>
      </c>
      <c r="Y26" s="1131">
        <f>C26+$Q$32+W26</f>
        <v>12</v>
      </c>
      <c r="Z26" s="1135"/>
      <c r="AA26" s="69"/>
      <c r="AB26" s="65"/>
      <c r="AC26" s="927"/>
      <c r="AD26" s="927"/>
      <c r="AE26" s="927"/>
    </row>
    <row r="27" spans="1:31" ht="24.95" customHeight="1" thickBot="1">
      <c r="A27" s="1081"/>
      <c r="B27" s="1094" t="s">
        <v>290</v>
      </c>
      <c r="C27" s="1116"/>
      <c r="D27" s="1111"/>
      <c r="E27" s="1102"/>
      <c r="F27" s="1103"/>
      <c r="G27" s="1104"/>
      <c r="H27" s="1105"/>
      <c r="I27" s="1102"/>
      <c r="J27" s="1103"/>
      <c r="K27" s="1104"/>
      <c r="L27" s="1105"/>
      <c r="M27" s="1102"/>
      <c r="N27" s="1106"/>
      <c r="O27" s="1107"/>
      <c r="P27" s="1108"/>
      <c r="Q27" s="1108"/>
      <c r="R27" s="1108"/>
      <c r="S27" s="1123"/>
      <c r="T27" s="1123"/>
      <c r="U27" s="1123"/>
      <c r="V27" s="1124"/>
      <c r="W27" s="1146">
        <f t="shared" si="0"/>
        <v>0</v>
      </c>
      <c r="X27" s="1144">
        <f t="shared" si="1"/>
        <v>0</v>
      </c>
      <c r="Y27" s="1131">
        <f>C27+$R$32+W27</f>
        <v>0</v>
      </c>
      <c r="Z27" s="1135"/>
      <c r="AA27" s="69"/>
      <c r="AB27" s="534"/>
      <c r="AC27" s="534"/>
      <c r="AD27" s="534"/>
      <c r="AE27" s="927"/>
    </row>
    <row r="28" spans="1:31" ht="24.95" customHeight="1">
      <c r="A28" s="1081"/>
      <c r="B28" s="1094" t="s">
        <v>291</v>
      </c>
      <c r="C28" s="1116"/>
      <c r="D28" s="1111"/>
      <c r="E28" s="1102"/>
      <c r="F28" s="1103"/>
      <c r="G28" s="1104"/>
      <c r="H28" s="1105"/>
      <c r="I28" s="1102"/>
      <c r="J28" s="1103"/>
      <c r="K28" s="1104"/>
      <c r="L28" s="1105"/>
      <c r="M28" s="1102"/>
      <c r="N28" s="1106"/>
      <c r="O28" s="1107"/>
      <c r="P28" s="1108"/>
      <c r="Q28" s="1108"/>
      <c r="R28" s="1108"/>
      <c r="S28" s="1108"/>
      <c r="T28" s="1123"/>
      <c r="U28" s="1123"/>
      <c r="V28" s="1124"/>
      <c r="W28" s="1146">
        <f t="shared" si="0"/>
        <v>0</v>
      </c>
      <c r="X28" s="1144">
        <f t="shared" si="1"/>
        <v>0</v>
      </c>
      <c r="Y28" s="1131">
        <f>C28+$S$32+W28</f>
        <v>0</v>
      </c>
      <c r="Z28" s="1135"/>
      <c r="AA28" s="69"/>
      <c r="AB28" s="1742" t="s">
        <v>308</v>
      </c>
      <c r="AC28" s="1743"/>
      <c r="AD28" s="1744"/>
      <c r="AE28" s="927"/>
    </row>
    <row r="29" spans="1:31" ht="24.95" customHeight="1">
      <c r="A29" s="1081"/>
      <c r="B29" s="1094" t="s">
        <v>294</v>
      </c>
      <c r="C29" s="1116">
        <v>5</v>
      </c>
      <c r="D29" s="1111"/>
      <c r="E29" s="1102"/>
      <c r="F29" s="1103"/>
      <c r="G29" s="1104"/>
      <c r="H29" s="1105"/>
      <c r="I29" s="1102"/>
      <c r="J29" s="1103"/>
      <c r="K29" s="1104"/>
      <c r="L29" s="1105"/>
      <c r="M29" s="1102"/>
      <c r="N29" s="1106"/>
      <c r="O29" s="1107"/>
      <c r="P29" s="1108"/>
      <c r="Q29" s="1108"/>
      <c r="R29" s="1108"/>
      <c r="S29" s="1108"/>
      <c r="T29" s="1108"/>
      <c r="U29" s="1123"/>
      <c r="V29" s="1124"/>
      <c r="W29" s="1146">
        <f t="shared" si="0"/>
        <v>0</v>
      </c>
      <c r="X29" s="1144">
        <f t="shared" si="1"/>
        <v>5</v>
      </c>
      <c r="Y29" s="1131">
        <f>C29+$T$32+W29</f>
        <v>5</v>
      </c>
      <c r="Z29" s="1135"/>
      <c r="AA29" s="69"/>
      <c r="AB29" s="1142" t="s">
        <v>309</v>
      </c>
      <c r="AC29" s="1745" t="s">
        <v>310</v>
      </c>
      <c r="AD29" s="1143" t="s">
        <v>80</v>
      </c>
      <c r="AE29" s="927"/>
    </row>
    <row r="30" spans="1:31" ht="24.95" customHeight="1">
      <c r="A30" s="1081"/>
      <c r="B30" s="1094" t="s">
        <v>292</v>
      </c>
      <c r="C30" s="1116">
        <v>6</v>
      </c>
      <c r="D30" s="1111"/>
      <c r="E30" s="1102"/>
      <c r="F30" s="1103"/>
      <c r="G30" s="1104"/>
      <c r="H30" s="1105"/>
      <c r="I30" s="1102"/>
      <c r="J30" s="1103"/>
      <c r="K30" s="1104"/>
      <c r="L30" s="1105"/>
      <c r="M30" s="1102"/>
      <c r="N30" s="1106"/>
      <c r="O30" s="1107"/>
      <c r="P30" s="1108"/>
      <c r="Q30" s="1108"/>
      <c r="R30" s="1108"/>
      <c r="S30" s="1108"/>
      <c r="T30" s="1108"/>
      <c r="U30" s="1108"/>
      <c r="V30" s="1122"/>
      <c r="W30" s="1146">
        <f t="shared" si="0"/>
        <v>0</v>
      </c>
      <c r="X30" s="1144">
        <f t="shared" si="1"/>
        <v>6</v>
      </c>
      <c r="Y30" s="1131">
        <f>C30+$U$32+W30</f>
        <v>6</v>
      </c>
      <c r="Z30" s="1135"/>
      <c r="AA30" s="69"/>
      <c r="AB30" s="1140"/>
      <c r="AC30" s="1746"/>
      <c r="AD30" s="1141"/>
      <c r="AE30" s="927"/>
    </row>
    <row r="31" spans="1:31" ht="24.95" customHeight="1">
      <c r="A31" s="1081"/>
      <c r="B31" s="1094" t="s">
        <v>293</v>
      </c>
      <c r="C31" s="1116"/>
      <c r="D31" s="1111"/>
      <c r="E31" s="1102"/>
      <c r="F31" s="1103"/>
      <c r="G31" s="1104"/>
      <c r="H31" s="1105"/>
      <c r="I31" s="1102"/>
      <c r="J31" s="1103"/>
      <c r="K31" s="1104"/>
      <c r="L31" s="1105"/>
      <c r="M31" s="1102"/>
      <c r="N31" s="1106"/>
      <c r="O31" s="1107"/>
      <c r="P31" s="1108"/>
      <c r="Q31" s="1108"/>
      <c r="R31" s="1108"/>
      <c r="S31" s="1108"/>
      <c r="T31" s="1108"/>
      <c r="U31" s="1108"/>
      <c r="V31" s="1109"/>
      <c r="W31" s="1147">
        <f t="shared" si="0"/>
        <v>0</v>
      </c>
      <c r="X31" s="1144">
        <f t="shared" si="1"/>
        <v>0</v>
      </c>
      <c r="Y31" s="1131">
        <f>C31+$V$32+W31</f>
        <v>0</v>
      </c>
      <c r="Z31" s="1135"/>
      <c r="AA31" s="69"/>
      <c r="AB31" s="1140"/>
      <c r="AC31" s="1746"/>
      <c r="AD31" s="1141"/>
      <c r="AE31" s="927"/>
    </row>
    <row r="32" spans="1:31" ht="30" customHeight="1" thickBot="1">
      <c r="A32" s="1081"/>
      <c r="B32" s="1095" t="s">
        <v>2</v>
      </c>
      <c r="C32" s="1112">
        <f>SUM(C13:C31)</f>
        <v>161</v>
      </c>
      <c r="D32" s="1139">
        <f>SUM(D13:D31)</f>
        <v>0</v>
      </c>
      <c r="E32" s="1126">
        <f t="shared" ref="E32:U32" si="2">SUM(E13:E31)</f>
        <v>0</v>
      </c>
      <c r="F32" s="1126">
        <f t="shared" si="2"/>
        <v>0</v>
      </c>
      <c r="G32" s="1126">
        <f t="shared" si="2"/>
        <v>0</v>
      </c>
      <c r="H32" s="1126">
        <f t="shared" si="2"/>
        <v>0</v>
      </c>
      <c r="I32" s="1126">
        <f t="shared" si="2"/>
        <v>0</v>
      </c>
      <c r="J32" s="1126">
        <f t="shared" si="2"/>
        <v>0</v>
      </c>
      <c r="K32" s="1126">
        <f t="shared" si="2"/>
        <v>0</v>
      </c>
      <c r="L32" s="1126">
        <f t="shared" si="2"/>
        <v>0</v>
      </c>
      <c r="M32" s="1126">
        <f t="shared" si="2"/>
        <v>0</v>
      </c>
      <c r="N32" s="1126">
        <f t="shared" si="2"/>
        <v>0</v>
      </c>
      <c r="O32" s="1126">
        <f t="shared" si="2"/>
        <v>0</v>
      </c>
      <c r="P32" s="1126">
        <f t="shared" si="2"/>
        <v>0</v>
      </c>
      <c r="Q32" s="1126">
        <f t="shared" si="2"/>
        <v>0</v>
      </c>
      <c r="R32" s="1126">
        <f t="shared" si="2"/>
        <v>0</v>
      </c>
      <c r="S32" s="1126">
        <f t="shared" si="2"/>
        <v>0</v>
      </c>
      <c r="T32" s="1126">
        <f t="shared" si="2"/>
        <v>0</v>
      </c>
      <c r="U32" s="1126">
        <f t="shared" si="2"/>
        <v>0</v>
      </c>
      <c r="V32" s="1126">
        <f>SUM(V13:V31)</f>
        <v>0</v>
      </c>
      <c r="W32" s="1113">
        <f>SUM(W13:W31)</f>
        <v>0</v>
      </c>
      <c r="X32" s="1113">
        <f>SUM(X13:X31)</f>
        <v>161</v>
      </c>
      <c r="Y32" s="1129"/>
      <c r="Z32" s="1135"/>
      <c r="AA32" s="69"/>
      <c r="AB32" s="1114">
        <f>'Table 2a (ITE)'!C25</f>
        <v>161</v>
      </c>
      <c r="AC32" s="1148">
        <f>X32-AB32</f>
        <v>0</v>
      </c>
      <c r="AD32" s="1149" t="str">
        <f>IF(ABS(AC32)&gt;0.1,"Does not equal Table 2a","OK")</f>
        <v>OK</v>
      </c>
      <c r="AE32" s="927"/>
    </row>
    <row r="33" spans="1:31" ht="30" customHeight="1">
      <c r="A33" s="907"/>
      <c r="B33" s="1138" t="s">
        <v>307</v>
      </c>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6"/>
      <c r="AA33" s="69"/>
      <c r="AB33" s="65"/>
      <c r="AC33" s="927"/>
      <c r="AD33" s="927"/>
      <c r="AE33" s="927"/>
    </row>
    <row r="34" spans="1:31" ht="30" customHeight="1">
      <c r="A34" s="534"/>
      <c r="B34" s="1045"/>
      <c r="C34" s="69"/>
      <c r="D34" s="69"/>
      <c r="E34" s="69"/>
      <c r="F34" s="69"/>
      <c r="G34" s="69"/>
      <c r="H34" s="69"/>
      <c r="I34" s="69"/>
      <c r="J34" s="69"/>
      <c r="K34" s="69"/>
      <c r="L34" s="69"/>
      <c r="M34" s="69"/>
      <c r="N34" s="69"/>
      <c r="O34" s="69"/>
      <c r="P34" s="157"/>
      <c r="Q34" s="157"/>
      <c r="R34" s="157"/>
      <c r="S34" s="157"/>
      <c r="T34" s="157"/>
      <c r="U34" s="157"/>
      <c r="V34" s="157"/>
      <c r="W34" s="157"/>
      <c r="X34" s="157"/>
      <c r="Y34" s="157"/>
      <c r="Z34" s="69"/>
      <c r="AA34" s="69"/>
      <c r="AB34" s="65"/>
      <c r="AC34" s="927"/>
      <c r="AD34" s="927"/>
      <c r="AE34" s="927"/>
    </row>
    <row r="35" spans="1:31" ht="9.9499999999999993" customHeight="1">
      <c r="A35" s="534"/>
      <c r="B35" s="1038"/>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5"/>
      <c r="AC35" s="927"/>
      <c r="AD35" s="927"/>
      <c r="AE35" s="927"/>
    </row>
    <row r="36" spans="1:31" ht="45" customHeight="1">
      <c r="A36" s="534"/>
      <c r="B36" s="187"/>
      <c r="C36" s="187"/>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65"/>
      <c r="AC36" s="1127"/>
      <c r="AD36" s="1127"/>
      <c r="AE36" s="1127"/>
    </row>
    <row r="37" spans="1:31" ht="45" customHeight="1">
      <c r="A37" s="534"/>
      <c r="B37" s="65"/>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127"/>
      <c r="AD37" s="1127"/>
      <c r="AE37" s="1127"/>
    </row>
    <row r="38" spans="1:31" ht="33.75" customHeight="1">
      <c r="A38" s="534"/>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6"/>
      <c r="AD38" s="196"/>
      <c r="AE38" s="196"/>
    </row>
    <row r="39" spans="1:31" ht="12.75" customHeight="1">
      <c r="B39" s="1412"/>
      <c r="C39" s="1418"/>
      <c r="D39" s="1418"/>
      <c r="E39" s="1418"/>
      <c r="F39" s="1418"/>
      <c r="G39" s="1418"/>
      <c r="H39" s="1418"/>
      <c r="I39" s="1418"/>
      <c r="J39" s="1418"/>
      <c r="K39" s="1418"/>
      <c r="L39" s="1418"/>
      <c r="M39" s="1418"/>
      <c r="N39" s="1418"/>
    </row>
    <row r="40" spans="1:31">
      <c r="C40" s="1418"/>
      <c r="D40" s="1418"/>
      <c r="E40" s="1418"/>
      <c r="F40" s="1418"/>
      <c r="G40" s="1418"/>
      <c r="H40" s="1418"/>
      <c r="I40" s="1418"/>
      <c r="J40" s="1418"/>
      <c r="K40" s="1418"/>
      <c r="L40" s="1418"/>
      <c r="M40" s="1418"/>
      <c r="N40" s="1418"/>
      <c r="AC40" s="1421"/>
    </row>
    <row r="41" spans="1:31">
      <c r="C41" s="1418"/>
      <c r="D41" s="1418"/>
      <c r="E41" s="1418"/>
      <c r="F41" s="1418"/>
      <c r="G41" s="1418"/>
      <c r="H41" s="1418"/>
      <c r="I41" s="1418"/>
      <c r="J41" s="1418"/>
      <c r="K41" s="1418"/>
      <c r="L41" s="1418"/>
      <c r="M41" s="1418"/>
      <c r="N41" s="1418"/>
    </row>
  </sheetData>
  <sheetProtection password="E23E" sheet="1" objects="1" scenarios="1"/>
  <mergeCells count="5">
    <mergeCell ref="Y8:Y9"/>
    <mergeCell ref="AB28:AD28"/>
    <mergeCell ref="AC29:AC31"/>
    <mergeCell ref="C4:F4"/>
    <mergeCell ref="D8:W8"/>
  </mergeCells>
  <conditionalFormatting sqref="C13:C31">
    <cfRule type="expression" dxfId="117" priority="25">
      <formula>$G$4=0</formula>
    </cfRule>
  </conditionalFormatting>
  <conditionalFormatting sqref="E13:V13">
    <cfRule type="expression" dxfId="116" priority="24">
      <formula>$G$4=0</formula>
    </cfRule>
  </conditionalFormatting>
  <conditionalFormatting sqref="U14:U29">
    <cfRule type="expression" dxfId="115" priority="18">
      <formula>$G$4=0</formula>
    </cfRule>
  </conditionalFormatting>
  <conditionalFormatting sqref="S14:S27">
    <cfRule type="expression" dxfId="114" priority="16">
      <formula>$G$4=0</formula>
    </cfRule>
  </conditionalFormatting>
  <conditionalFormatting sqref="V14:V30">
    <cfRule type="expression" dxfId="113" priority="19">
      <formula>$G$4=0</formula>
    </cfRule>
  </conditionalFormatting>
  <conditionalFormatting sqref="T14:T28">
    <cfRule type="expression" dxfId="112" priority="17">
      <formula>$G$4=0</formula>
    </cfRule>
  </conditionalFormatting>
  <conditionalFormatting sqref="R14:R26">
    <cfRule type="expression" dxfId="111" priority="15">
      <formula>$G$4=0</formula>
    </cfRule>
  </conditionalFormatting>
  <conditionalFormatting sqref="Q14:Q25">
    <cfRule type="expression" dxfId="110" priority="14">
      <formula>$G$4=0</formula>
    </cfRule>
  </conditionalFormatting>
  <conditionalFormatting sqref="P14:P24">
    <cfRule type="expression" dxfId="109" priority="13">
      <formula>$G$4=0</formula>
    </cfRule>
  </conditionalFormatting>
  <conditionalFormatting sqref="O14:O23">
    <cfRule type="expression" dxfId="108" priority="12">
      <formula>$G$4=0</formula>
    </cfRule>
  </conditionalFormatting>
  <conditionalFormatting sqref="F14">
    <cfRule type="expression" dxfId="107" priority="3">
      <formula>$G$4=0</formula>
    </cfRule>
  </conditionalFormatting>
  <conditionalFormatting sqref="N14:N22">
    <cfRule type="expression" dxfId="106" priority="11">
      <formula>$G$4=0</formula>
    </cfRule>
  </conditionalFormatting>
  <conditionalFormatting sqref="M14:M21">
    <cfRule type="expression" dxfId="105" priority="10">
      <formula>$G$4=0</formula>
    </cfRule>
  </conditionalFormatting>
  <conditionalFormatting sqref="L14:L20">
    <cfRule type="expression" dxfId="104" priority="9">
      <formula>$G$4=0</formula>
    </cfRule>
  </conditionalFormatting>
  <conditionalFormatting sqref="K14:K19">
    <cfRule type="expression" dxfId="103" priority="8">
      <formula>$G$4=0</formula>
    </cfRule>
  </conditionalFormatting>
  <conditionalFormatting sqref="J14:J18">
    <cfRule type="expression" dxfId="102" priority="7">
      <formula>$G$4=0</formula>
    </cfRule>
  </conditionalFormatting>
  <conditionalFormatting sqref="I14:I17">
    <cfRule type="expression" dxfId="101" priority="6">
      <formula>$G$4=0</formula>
    </cfRule>
  </conditionalFormatting>
  <conditionalFormatting sqref="H14:H16">
    <cfRule type="expression" dxfId="100" priority="5">
      <formula>$G$4=0</formula>
    </cfRule>
  </conditionalFormatting>
  <conditionalFormatting sqref="G14:G15">
    <cfRule type="expression" dxfId="99" priority="4">
      <formula>$G$4=0</formula>
    </cfRule>
  </conditionalFormatting>
  <conditionalFormatting sqref="A1:AE1">
    <cfRule type="expression" dxfId="98" priority="2">
      <formula>$G$4=0</formula>
    </cfRule>
  </conditionalFormatting>
  <conditionalFormatting sqref="AB32:AD32">
    <cfRule type="expression" dxfId="97" priority="1">
      <formula>$G$4=0</formula>
    </cfRule>
  </conditionalFormatting>
  <dataValidations count="2">
    <dataValidation allowBlank="1" sqref="AC36:AE38 C12:Z12"/>
    <dataValidation type="custom" allowBlank="1" showErrorMessage="1" errorTitle="Number less than 0" error="You are trying to enter a number which is less than 0, please re-enter a valid number." sqref="C13:D32 E13:N31 E32:X32">
      <formula1>C13&gt;=0</formula1>
    </dataValidation>
  </dataValidations>
  <printOptions horizontalCentered="1" verticalCentered="1"/>
  <pageMargins left="0.19685039370078741" right="0.19685039370078741" top="0.19685039370078741" bottom="0.39370078740157483" header="0" footer="0"/>
  <pageSetup paperSize="9" scale="4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Q41"/>
  <sheetViews>
    <sheetView zoomScale="80" zoomScaleNormal="80" workbookViewId="0"/>
  </sheetViews>
  <sheetFormatPr defaultColWidth="9.7109375" defaultRowHeight="15"/>
  <cols>
    <col min="1" max="1" width="2.7109375" style="1422" customWidth="1"/>
    <col min="2" max="2" width="56.7109375" style="1422" customWidth="1"/>
    <col min="3" max="15" width="12.7109375" style="1422" customWidth="1"/>
    <col min="16" max="16" width="12.7109375" style="1423" customWidth="1"/>
    <col min="17" max="18" width="2.7109375" style="1422" customWidth="1"/>
    <col min="19" max="19" width="23.7109375" style="1422" customWidth="1"/>
    <col min="20" max="20" width="30.7109375" style="1422" customWidth="1"/>
    <col min="21" max="22" width="12.7109375" style="1422" customWidth="1"/>
    <col min="23" max="23" width="35.7109375" style="1422" customWidth="1"/>
    <col min="24" max="24" width="8.7109375" style="1422" customWidth="1"/>
    <col min="25" max="25" width="23.7109375" style="1422" customWidth="1"/>
    <col min="26" max="26" width="30.7109375" style="1422" customWidth="1"/>
    <col min="27" max="28" width="12.7109375" style="1422" customWidth="1"/>
    <col min="29" max="29" width="35.7109375" style="1422" customWidth="1"/>
    <col min="30" max="31" width="12.7109375" style="1422" customWidth="1"/>
    <col min="32" max="32" width="9.7109375" style="1422" customWidth="1"/>
    <col min="33" max="33" width="9.7109375" style="1422" hidden="1" customWidth="1"/>
    <col min="34" max="37" width="14.7109375" style="1422" hidden="1" customWidth="1"/>
    <col min="38" max="38" width="8.7109375" style="1422" hidden="1" customWidth="1"/>
    <col min="39" max="42" width="14.7109375" style="1422" hidden="1" customWidth="1"/>
    <col min="43" max="43" width="9.7109375" style="1422" hidden="1" customWidth="1"/>
    <col min="44" max="257" width="9.7109375" style="1422" customWidth="1"/>
    <col min="258" max="16384" width="9.7109375" style="1422"/>
  </cols>
  <sheetData>
    <row r="1" spans="1:42" ht="39.950000000000003" customHeight="1">
      <c r="A1" s="1056"/>
      <c r="B1" s="579" t="str">
        <f>IF(F4=0,"Your Institution Does Not Complete This Table","")</f>
        <v/>
      </c>
      <c r="C1" s="693"/>
      <c r="D1" s="693"/>
      <c r="E1" s="693"/>
      <c r="F1" s="693"/>
      <c r="G1" s="693"/>
      <c r="H1" s="693"/>
      <c r="I1" s="693"/>
      <c r="J1" s="693"/>
      <c r="K1" s="693"/>
      <c r="L1" s="693"/>
      <c r="M1" s="693"/>
      <c r="N1" s="693"/>
      <c r="O1" s="693"/>
      <c r="P1" s="694"/>
      <c r="Q1" s="693"/>
      <c r="R1" s="693"/>
      <c r="S1" s="693"/>
      <c r="T1" s="693"/>
      <c r="U1" s="693"/>
      <c r="V1" s="693"/>
      <c r="W1" s="693"/>
      <c r="X1" s="693"/>
      <c r="Y1" s="693"/>
      <c r="Z1" s="693"/>
      <c r="AA1" s="693"/>
      <c r="AB1" s="693"/>
      <c r="AC1" s="693"/>
      <c r="AD1" s="693"/>
      <c r="AE1" s="693"/>
    </row>
    <row r="2" spans="1:42" s="1425" customFormat="1" ht="30" customHeight="1">
      <c r="A2" s="1062"/>
      <c r="B2" s="865" t="s">
        <v>366</v>
      </c>
      <c r="C2" s="695"/>
      <c r="D2" s="695"/>
      <c r="E2" s="695"/>
      <c r="F2" s="695"/>
      <c r="G2" s="695"/>
      <c r="H2" s="695"/>
      <c r="I2" s="695"/>
      <c r="J2" s="695"/>
      <c r="K2" s="695"/>
      <c r="L2" s="695"/>
      <c r="M2" s="696"/>
      <c r="N2" s="696"/>
      <c r="O2" s="697"/>
      <c r="P2" s="698"/>
      <c r="Q2" s="699"/>
      <c r="R2" s="700"/>
      <c r="S2" s="701"/>
      <c r="T2" s="701"/>
      <c r="U2" s="701"/>
      <c r="V2" s="701"/>
      <c r="W2" s="701"/>
      <c r="X2" s="701"/>
      <c r="Y2" s="701"/>
      <c r="Z2" s="701"/>
      <c r="AA2" s="701"/>
      <c r="AB2" s="701"/>
      <c r="AC2" s="701"/>
      <c r="AD2" s="701"/>
      <c r="AE2" s="701"/>
      <c r="AF2" s="1424"/>
      <c r="AG2" s="1424"/>
      <c r="AH2" s="1424"/>
      <c r="AI2" s="1424"/>
      <c r="AJ2" s="1424"/>
      <c r="AK2" s="1424"/>
      <c r="AL2" s="1424"/>
      <c r="AM2" s="1424"/>
    </row>
    <row r="3" spans="1:42" ht="15" customHeight="1">
      <c r="A3" s="1060"/>
      <c r="B3" s="1057"/>
      <c r="C3" s="702"/>
      <c r="D3" s="703"/>
      <c r="E3" s="703"/>
      <c r="F3" s="703"/>
      <c r="G3" s="703"/>
      <c r="H3" s="703"/>
      <c r="I3" s="703"/>
      <c r="J3" s="703"/>
      <c r="K3" s="703"/>
      <c r="L3" s="703"/>
      <c r="M3" s="703"/>
      <c r="N3" s="703"/>
      <c r="O3" s="703"/>
      <c r="P3" s="703"/>
      <c r="Q3" s="704"/>
      <c r="R3" s="705"/>
      <c r="S3" s="706"/>
      <c r="T3" s="706"/>
      <c r="U3" s="706"/>
      <c r="V3" s="706"/>
      <c r="W3" s="706"/>
      <c r="X3" s="706"/>
      <c r="Y3" s="706"/>
      <c r="Z3" s="706"/>
      <c r="AA3" s="706"/>
      <c r="AB3" s="706"/>
      <c r="AC3" s="706"/>
      <c r="AD3" s="706"/>
      <c r="AE3" s="706"/>
      <c r="AF3" s="1424"/>
      <c r="AG3" s="1424"/>
      <c r="AH3" s="1424"/>
      <c r="AI3" s="1424"/>
      <c r="AJ3" s="1424"/>
      <c r="AK3" s="1419"/>
      <c r="AL3" s="1424"/>
      <c r="AM3" s="1424"/>
    </row>
    <row r="4" spans="1:42" ht="35.1" customHeight="1">
      <c r="A4" s="1060"/>
      <c r="B4" s="1046" t="s">
        <v>0</v>
      </c>
      <c r="C4" s="1718" t="str">
        <f>Background!$D$2</f>
        <v>Glasgow, University of</v>
      </c>
      <c r="D4" s="1719"/>
      <c r="E4" s="1738"/>
      <c r="F4" s="200">
        <f>VLOOKUP(Background!$C$2,Inst_Tables,7,FALSE)</f>
        <v>1</v>
      </c>
      <c r="G4" s="200"/>
      <c r="H4" s="200"/>
      <c r="I4" s="200"/>
      <c r="J4" s="200"/>
      <c r="K4" s="703"/>
      <c r="L4" s="703"/>
      <c r="M4" s="703"/>
      <c r="N4" s="703"/>
      <c r="O4" s="703"/>
      <c r="P4" s="703"/>
      <c r="Q4" s="707"/>
      <c r="R4" s="708"/>
      <c r="S4" s="706"/>
      <c r="T4" s="706"/>
      <c r="U4" s="706"/>
      <c r="V4" s="706"/>
      <c r="W4" s="706"/>
      <c r="X4" s="706"/>
      <c r="Y4" s="706"/>
      <c r="Z4" s="706"/>
      <c r="AA4" s="706"/>
      <c r="AB4" s="706"/>
      <c r="AC4" s="706"/>
      <c r="AD4" s="706"/>
      <c r="AE4" s="706"/>
      <c r="AF4" s="1424"/>
      <c r="AG4" s="1419"/>
      <c r="AK4" s="1418"/>
      <c r="AL4" s="1424"/>
      <c r="AM4" s="1419"/>
      <c r="AN4" s="1419"/>
      <c r="AO4" s="1419"/>
      <c r="AP4" s="1419"/>
    </row>
    <row r="5" spans="1:42" ht="35.1" customHeight="1">
      <c r="A5" s="1060"/>
      <c r="B5" s="1058" t="s">
        <v>351</v>
      </c>
      <c r="C5" s="710"/>
      <c r="D5" s="710"/>
      <c r="E5" s="710"/>
      <c r="F5" s="710"/>
      <c r="G5" s="710"/>
      <c r="H5" s="710"/>
      <c r="I5" s="710"/>
      <c r="J5" s="710"/>
      <c r="K5" s="710"/>
      <c r="L5" s="710"/>
      <c r="M5" s="710"/>
      <c r="N5" s="710"/>
      <c r="O5" s="710"/>
      <c r="P5" s="711"/>
      <c r="Q5" s="712"/>
      <c r="R5" s="709"/>
      <c r="S5" s="706"/>
      <c r="T5" s="706"/>
      <c r="U5" s="706"/>
      <c r="V5" s="706"/>
      <c r="W5" s="706"/>
      <c r="X5" s="706"/>
      <c r="Y5" s="706"/>
      <c r="Z5" s="706"/>
      <c r="AA5" s="706"/>
      <c r="AB5" s="706"/>
      <c r="AC5" s="706"/>
      <c r="AD5" s="706"/>
      <c r="AE5" s="706"/>
      <c r="AF5" s="1424"/>
      <c r="AG5" s="1419"/>
      <c r="AH5" s="1418"/>
      <c r="AI5" s="1418"/>
      <c r="AJ5" s="1418"/>
      <c r="AK5" s="1418"/>
      <c r="AL5" s="1419"/>
      <c r="AM5" s="1419"/>
      <c r="AN5" s="1419"/>
      <c r="AO5" s="1419"/>
      <c r="AP5" s="1419"/>
    </row>
    <row r="6" spans="1:42" ht="30" customHeight="1">
      <c r="A6" s="1060"/>
      <c r="B6" s="55" t="s">
        <v>433</v>
      </c>
      <c r="C6" s="710"/>
      <c r="D6" s="710"/>
      <c r="E6" s="710"/>
      <c r="F6" s="710"/>
      <c r="G6" s="710"/>
      <c r="H6" s="710"/>
      <c r="I6" s="710"/>
      <c r="J6" s="710"/>
      <c r="K6" s="710"/>
      <c r="L6" s="710"/>
      <c r="M6" s="710"/>
      <c r="N6" s="710"/>
      <c r="O6" s="710"/>
      <c r="P6" s="711"/>
      <c r="Q6" s="712"/>
      <c r="R6" s="709"/>
      <c r="S6" s="706"/>
      <c r="T6" s="706"/>
      <c r="U6" s="706"/>
      <c r="V6" s="706"/>
      <c r="W6" s="706"/>
      <c r="X6" s="706"/>
      <c r="Y6" s="706"/>
      <c r="Z6" s="706"/>
      <c r="AA6" s="706"/>
      <c r="AB6" s="706"/>
      <c r="AC6" s="706"/>
      <c r="AD6" s="706"/>
      <c r="AE6" s="706"/>
      <c r="AF6" s="1424"/>
      <c r="AG6" s="1419"/>
      <c r="AH6" s="1418"/>
      <c r="AI6" s="1418"/>
      <c r="AJ6" s="1418"/>
      <c r="AK6" s="1418"/>
      <c r="AL6" s="1419"/>
      <c r="AM6" s="1419"/>
      <c r="AN6" s="1419"/>
      <c r="AO6" s="1419"/>
      <c r="AP6" s="1419"/>
    </row>
    <row r="7" spans="1:42" ht="15" customHeight="1" thickBot="1">
      <c r="A7" s="1060"/>
      <c r="B7" s="710"/>
      <c r="C7" s="710"/>
      <c r="D7" s="710"/>
      <c r="E7" s="710"/>
      <c r="F7" s="710"/>
      <c r="G7" s="710"/>
      <c r="H7" s="710"/>
      <c r="I7" s="710"/>
      <c r="J7" s="710"/>
      <c r="K7" s="710"/>
      <c r="L7" s="710"/>
      <c r="M7" s="710"/>
      <c r="N7" s="710"/>
      <c r="O7" s="710"/>
      <c r="P7" s="711"/>
      <c r="Q7" s="712"/>
      <c r="R7" s="709"/>
      <c r="S7" s="706"/>
      <c r="T7" s="706"/>
      <c r="U7" s="706"/>
      <c r="V7" s="706"/>
      <c r="W7" s="706"/>
      <c r="X7" s="706"/>
      <c r="Y7" s="706"/>
      <c r="Z7" s="706"/>
      <c r="AA7" s="706"/>
      <c r="AB7" s="706"/>
      <c r="AC7" s="706"/>
      <c r="AD7" s="706"/>
      <c r="AE7" s="706"/>
      <c r="AF7" s="1424"/>
      <c r="AG7" s="1419"/>
      <c r="AH7" s="1418"/>
      <c r="AI7" s="1418"/>
      <c r="AJ7" s="1418"/>
      <c r="AK7" s="1418"/>
      <c r="AL7" s="1419"/>
      <c r="AM7" s="1419"/>
      <c r="AN7" s="1419"/>
      <c r="AO7" s="1419"/>
      <c r="AP7" s="1419"/>
    </row>
    <row r="8" spans="1:42" ht="39.950000000000003" customHeight="1" thickBot="1">
      <c r="A8" s="1060"/>
      <c r="B8" s="1752" t="s">
        <v>29</v>
      </c>
      <c r="C8" s="1753"/>
      <c r="D8" s="1753"/>
      <c r="E8" s="1753"/>
      <c r="F8" s="1753"/>
      <c r="G8" s="1753"/>
      <c r="H8" s="1753"/>
      <c r="I8" s="1753"/>
      <c r="J8" s="1753"/>
      <c r="K8" s="1753"/>
      <c r="L8" s="1753"/>
      <c r="M8" s="1753"/>
      <c r="N8" s="1753"/>
      <c r="O8" s="1753"/>
      <c r="P8" s="1754"/>
      <c r="Q8" s="712"/>
      <c r="R8" s="709"/>
      <c r="S8" s="713"/>
      <c r="T8" s="713"/>
      <c r="U8" s="713"/>
      <c r="V8" s="713"/>
      <c r="W8" s="713"/>
      <c r="X8" s="706"/>
      <c r="Y8" s="714"/>
      <c r="Z8" s="714"/>
      <c r="AA8" s="714"/>
      <c r="AB8" s="714"/>
      <c r="AC8" s="714"/>
      <c r="AD8" s="706"/>
      <c r="AE8" s="706"/>
      <c r="AF8" s="1424"/>
      <c r="AG8" s="1419"/>
      <c r="AH8" s="1426"/>
      <c r="AI8" s="1419"/>
      <c r="AJ8" s="1419"/>
      <c r="AK8" s="1419"/>
      <c r="AL8" s="1419"/>
      <c r="AN8" s="1419"/>
      <c r="AO8" s="1419"/>
      <c r="AP8" s="1419"/>
    </row>
    <row r="9" spans="1:42" ht="39.950000000000003" customHeight="1" thickBot="1">
      <c r="A9" s="1060"/>
      <c r="B9" s="786"/>
      <c r="C9" s="1748" t="s">
        <v>200</v>
      </c>
      <c r="D9" s="1749"/>
      <c r="E9" s="1749"/>
      <c r="F9" s="1749"/>
      <c r="G9" s="1749"/>
      <c r="H9" s="1749"/>
      <c r="I9" s="1749"/>
      <c r="J9" s="1749"/>
      <c r="K9" s="1749"/>
      <c r="L9" s="1749"/>
      <c r="M9" s="1749"/>
      <c r="N9" s="1749"/>
      <c r="O9" s="1750"/>
      <c r="P9" s="1751" t="s">
        <v>177</v>
      </c>
      <c r="Q9" s="712"/>
      <c r="R9" s="709"/>
      <c r="S9" s="715"/>
      <c r="T9" s="715"/>
      <c r="U9" s="715"/>
      <c r="V9" s="715"/>
      <c r="W9" s="715"/>
      <c r="X9" s="706"/>
      <c r="Y9" s="716"/>
      <c r="Z9" s="716"/>
      <c r="AA9" s="716"/>
      <c r="AB9" s="716"/>
      <c r="AC9" s="716"/>
      <c r="AD9" s="706"/>
      <c r="AE9" s="706"/>
      <c r="AL9" s="1419"/>
    </row>
    <row r="10" spans="1:42" ht="39.950000000000003" customHeight="1" thickBot="1">
      <c r="A10" s="1060"/>
      <c r="B10" s="786"/>
      <c r="C10" s="1749" t="s">
        <v>4</v>
      </c>
      <c r="D10" s="1749"/>
      <c r="E10" s="1749"/>
      <c r="F10" s="1749"/>
      <c r="G10" s="1749"/>
      <c r="H10" s="1749"/>
      <c r="I10" s="1749"/>
      <c r="J10" s="1748" t="s">
        <v>30</v>
      </c>
      <c r="K10" s="1749"/>
      <c r="L10" s="1749"/>
      <c r="M10" s="1749"/>
      <c r="N10" s="1750"/>
      <c r="O10" s="794" t="s">
        <v>2</v>
      </c>
      <c r="P10" s="1751"/>
      <c r="Q10" s="712"/>
      <c r="R10" s="709"/>
      <c r="S10" s="858"/>
      <c r="T10" s="858"/>
      <c r="U10" s="858"/>
      <c r="V10" s="858"/>
      <c r="W10" s="858"/>
      <c r="X10" s="706"/>
      <c r="Y10" s="858"/>
      <c r="Z10" s="858"/>
      <c r="AA10" s="858"/>
      <c r="AB10" s="858"/>
      <c r="AC10" s="858"/>
      <c r="AD10" s="706"/>
      <c r="AE10" s="706"/>
      <c r="AH10" s="1761" t="s">
        <v>4</v>
      </c>
      <c r="AI10" s="1762"/>
      <c r="AJ10" s="1762"/>
      <c r="AK10" s="1763"/>
      <c r="AL10" s="1419"/>
      <c r="AM10" s="1761" t="s">
        <v>30</v>
      </c>
      <c r="AN10" s="1762"/>
      <c r="AO10" s="1762"/>
      <c r="AP10" s="1763"/>
    </row>
    <row r="11" spans="1:42" ht="54.95" customHeight="1">
      <c r="A11" s="1060"/>
      <c r="B11" s="787" t="s">
        <v>199</v>
      </c>
      <c r="C11" s="762" t="s">
        <v>132</v>
      </c>
      <c r="D11" s="779">
        <v>0</v>
      </c>
      <c r="E11" s="780" t="s">
        <v>25</v>
      </c>
      <c r="F11" s="780" t="s">
        <v>14</v>
      </c>
      <c r="G11" s="780" t="s">
        <v>15</v>
      </c>
      <c r="H11" s="780" t="s">
        <v>16</v>
      </c>
      <c r="I11" s="761" t="s">
        <v>210</v>
      </c>
      <c r="J11" s="781" t="s">
        <v>132</v>
      </c>
      <c r="K11" s="1064" t="s">
        <v>15</v>
      </c>
      <c r="L11" s="780" t="s">
        <v>16</v>
      </c>
      <c r="M11" s="780" t="s">
        <v>17</v>
      </c>
      <c r="N11" s="757" t="s">
        <v>210</v>
      </c>
      <c r="O11" s="718"/>
      <c r="P11" s="1751"/>
      <c r="Q11" s="712"/>
      <c r="R11" s="709"/>
      <c r="S11" s="1758" t="s">
        <v>4</v>
      </c>
      <c r="T11" s="1759"/>
      <c r="U11" s="1759"/>
      <c r="V11" s="1759"/>
      <c r="W11" s="1760"/>
      <c r="X11" s="706"/>
      <c r="Y11" s="1758" t="s">
        <v>30</v>
      </c>
      <c r="Z11" s="1759"/>
      <c r="AA11" s="1759"/>
      <c r="AB11" s="1759"/>
      <c r="AC11" s="1760"/>
      <c r="AD11" s="706"/>
      <c r="AE11" s="706"/>
      <c r="AH11" s="1764" t="s">
        <v>268</v>
      </c>
      <c r="AI11" s="1767" t="s">
        <v>253</v>
      </c>
      <c r="AJ11" s="1767" t="s">
        <v>242</v>
      </c>
      <c r="AK11" s="1770" t="s">
        <v>269</v>
      </c>
      <c r="AL11" s="1419"/>
      <c r="AM11" s="1764" t="s">
        <v>268</v>
      </c>
      <c r="AN11" s="1767" t="s">
        <v>253</v>
      </c>
      <c r="AO11" s="1767" t="s">
        <v>242</v>
      </c>
      <c r="AP11" s="1770" t="s">
        <v>269</v>
      </c>
    </row>
    <row r="12" spans="1:42" ht="30" customHeight="1">
      <c r="A12" s="1060"/>
      <c r="B12" s="788"/>
      <c r="C12" s="782" t="s">
        <v>18</v>
      </c>
      <c r="D12" s="767" t="s">
        <v>18</v>
      </c>
      <c r="E12" s="717" t="s">
        <v>18</v>
      </c>
      <c r="F12" s="717" t="s">
        <v>18</v>
      </c>
      <c r="G12" s="717" t="s">
        <v>18</v>
      </c>
      <c r="H12" s="717" t="s">
        <v>18</v>
      </c>
      <c r="I12" s="744" t="s">
        <v>18</v>
      </c>
      <c r="J12" s="768" t="s">
        <v>18</v>
      </c>
      <c r="K12" s="1065" t="s">
        <v>18</v>
      </c>
      <c r="L12" s="717" t="s">
        <v>18</v>
      </c>
      <c r="M12" s="717" t="s">
        <v>18</v>
      </c>
      <c r="N12" s="742" t="s">
        <v>18</v>
      </c>
      <c r="O12" s="718" t="s">
        <v>18</v>
      </c>
      <c r="P12" s="718" t="s">
        <v>18</v>
      </c>
      <c r="Q12" s="712"/>
      <c r="R12" s="709"/>
      <c r="S12" s="1721" t="s">
        <v>223</v>
      </c>
      <c r="T12" s="1709" t="s">
        <v>224</v>
      </c>
      <c r="U12" s="1755" t="s">
        <v>238</v>
      </c>
      <c r="V12" s="1756"/>
      <c r="W12" s="1757"/>
      <c r="X12" s="706"/>
      <c r="Y12" s="1721" t="s">
        <v>223</v>
      </c>
      <c r="Z12" s="1709" t="s">
        <v>224</v>
      </c>
      <c r="AA12" s="1755" t="s">
        <v>238</v>
      </c>
      <c r="AB12" s="1756"/>
      <c r="AC12" s="1757"/>
      <c r="AD12" s="706"/>
      <c r="AE12" s="706"/>
      <c r="AH12" s="1765"/>
      <c r="AI12" s="1768"/>
      <c r="AJ12" s="1768"/>
      <c r="AK12" s="1771"/>
      <c r="AM12" s="1765"/>
      <c r="AN12" s="1768"/>
      <c r="AO12" s="1768"/>
      <c r="AP12" s="1771"/>
    </row>
    <row r="13" spans="1:42" ht="39.950000000000003" customHeight="1" thickBot="1">
      <c r="A13" s="1060"/>
      <c r="B13" s="788"/>
      <c r="C13" s="783" t="s">
        <v>31</v>
      </c>
      <c r="D13" s="769" t="s">
        <v>31</v>
      </c>
      <c r="E13" s="746" t="s">
        <v>31</v>
      </c>
      <c r="F13" s="746" t="s">
        <v>31</v>
      </c>
      <c r="G13" s="746" t="s">
        <v>31</v>
      </c>
      <c r="H13" s="746" t="s">
        <v>31</v>
      </c>
      <c r="I13" s="761" t="s">
        <v>131</v>
      </c>
      <c r="J13" s="770" t="s">
        <v>31</v>
      </c>
      <c r="K13" s="1066" t="s">
        <v>31</v>
      </c>
      <c r="L13" s="746" t="s">
        <v>31</v>
      </c>
      <c r="M13" s="746" t="s">
        <v>31</v>
      </c>
      <c r="N13" s="757" t="s">
        <v>131</v>
      </c>
      <c r="O13" s="908" t="s">
        <v>131</v>
      </c>
      <c r="P13" s="747" t="s">
        <v>31</v>
      </c>
      <c r="Q13" s="712"/>
      <c r="R13" s="709"/>
      <c r="S13" s="1712"/>
      <c r="T13" s="1714"/>
      <c r="U13" s="582" t="s">
        <v>61</v>
      </c>
      <c r="V13" s="1709" t="s">
        <v>239</v>
      </c>
      <c r="W13" s="66" t="s">
        <v>80</v>
      </c>
      <c r="X13" s="706"/>
      <c r="Y13" s="1712"/>
      <c r="Z13" s="1714"/>
      <c r="AA13" s="582" t="s">
        <v>61</v>
      </c>
      <c r="AB13" s="1709" t="s">
        <v>239</v>
      </c>
      <c r="AC13" s="66" t="s">
        <v>80</v>
      </c>
      <c r="AD13" s="706"/>
      <c r="AE13" s="706"/>
      <c r="AH13" s="1766"/>
      <c r="AI13" s="1769"/>
      <c r="AJ13" s="1769"/>
      <c r="AK13" s="1772"/>
      <c r="AM13" s="1766"/>
      <c r="AN13" s="1769"/>
      <c r="AO13" s="1769"/>
      <c r="AP13" s="1772"/>
    </row>
    <row r="14" spans="1:42" ht="30" customHeight="1" thickBot="1">
      <c r="A14" s="1060"/>
      <c r="B14" s="795"/>
      <c r="C14" s="1602">
        <v>1</v>
      </c>
      <c r="D14" s="1603">
        <v>2</v>
      </c>
      <c r="E14" s="1604">
        <v>3</v>
      </c>
      <c r="F14" s="1602">
        <v>4</v>
      </c>
      <c r="G14" s="1604">
        <v>5</v>
      </c>
      <c r="H14" s="1604">
        <v>6</v>
      </c>
      <c r="I14" s="1602">
        <v>7</v>
      </c>
      <c r="J14" s="1606">
        <v>8</v>
      </c>
      <c r="K14" s="1605">
        <v>9</v>
      </c>
      <c r="L14" s="1602">
        <v>10</v>
      </c>
      <c r="M14" s="1604">
        <v>11</v>
      </c>
      <c r="N14" s="1607">
        <v>12</v>
      </c>
      <c r="O14" s="1602">
        <v>13</v>
      </c>
      <c r="P14" s="1606">
        <v>14</v>
      </c>
      <c r="Q14" s="712"/>
      <c r="R14" s="709"/>
      <c r="S14" s="841"/>
      <c r="T14" s="583"/>
      <c r="U14" s="842"/>
      <c r="V14" s="1710"/>
      <c r="W14" s="843"/>
      <c r="X14" s="706"/>
      <c r="Y14" s="841"/>
      <c r="Z14" s="583"/>
      <c r="AA14" s="842"/>
      <c r="AB14" s="1710"/>
      <c r="AC14" s="843"/>
      <c r="AD14" s="706"/>
      <c r="AE14" s="706"/>
      <c r="AH14" s="1416" t="s">
        <v>75</v>
      </c>
      <c r="AI14" s="1416" t="s">
        <v>75</v>
      </c>
      <c r="AJ14" s="1416" t="s">
        <v>75</v>
      </c>
      <c r="AK14" s="1416" t="s">
        <v>75</v>
      </c>
      <c r="AL14" s="1405"/>
      <c r="AM14" s="1416" t="s">
        <v>75</v>
      </c>
      <c r="AN14" s="1416" t="s">
        <v>75</v>
      </c>
      <c r="AO14" s="1416" t="s">
        <v>75</v>
      </c>
      <c r="AP14" s="1416" t="s">
        <v>75</v>
      </c>
    </row>
    <row r="15" spans="1:42" ht="35.1" customHeight="1">
      <c r="A15" s="1060"/>
      <c r="B15" s="787" t="s">
        <v>266</v>
      </c>
      <c r="C15" s="783"/>
      <c r="D15" s="771"/>
      <c r="E15" s="719"/>
      <c r="F15" s="719"/>
      <c r="G15" s="1066"/>
      <c r="H15" s="1066"/>
      <c r="I15" s="762"/>
      <c r="J15" s="772"/>
      <c r="K15" s="720"/>
      <c r="L15" s="719"/>
      <c r="M15" s="746"/>
      <c r="N15" s="908"/>
      <c r="O15" s="908"/>
      <c r="P15" s="747"/>
      <c r="Q15" s="712"/>
      <c r="R15" s="709"/>
      <c r="S15" s="853"/>
      <c r="T15" s="854"/>
      <c r="U15" s="854"/>
      <c r="V15" s="854"/>
      <c r="W15" s="855"/>
      <c r="X15" s="706"/>
      <c r="Y15" s="78"/>
      <c r="Z15" s="854"/>
      <c r="AA15" s="854"/>
      <c r="AB15" s="854"/>
      <c r="AC15" s="859"/>
      <c r="AD15" s="706"/>
      <c r="AE15" s="706"/>
      <c r="AH15" s="1416"/>
      <c r="AI15" s="1416"/>
      <c r="AJ15" s="1416"/>
      <c r="AK15" s="1416"/>
      <c r="AL15" s="1405"/>
      <c r="AM15" s="1416"/>
      <c r="AN15" s="1416"/>
      <c r="AO15" s="1416"/>
      <c r="AP15" s="1416"/>
    </row>
    <row r="16" spans="1:42" ht="30" customHeight="1">
      <c r="A16" s="1060"/>
      <c r="B16" s="789" t="s">
        <v>197</v>
      </c>
      <c r="C16" s="811">
        <v>154</v>
      </c>
      <c r="D16" s="823"/>
      <c r="E16" s="824">
        <v>158</v>
      </c>
      <c r="F16" s="824">
        <v>153</v>
      </c>
      <c r="G16" s="814"/>
      <c r="H16" s="814"/>
      <c r="I16" s="763">
        <f>SUM(D16:H16)</f>
        <v>311</v>
      </c>
      <c r="J16" s="825">
        <v>26</v>
      </c>
      <c r="K16" s="826">
        <v>185</v>
      </c>
      <c r="L16" s="824">
        <v>198</v>
      </c>
      <c r="M16" s="813">
        <v>245</v>
      </c>
      <c r="N16" s="754">
        <f>SUM(K16:M16)</f>
        <v>628</v>
      </c>
      <c r="O16" s="754">
        <f>SUM(I16,N16)</f>
        <v>939</v>
      </c>
      <c r="P16" s="816">
        <v>49</v>
      </c>
      <c r="Q16" s="712"/>
      <c r="R16" s="709"/>
      <c r="S16" s="127" t="str">
        <f>IF(AH16=1,Intake_missing,IF(AI16=1,Only_intake_recorded,"OK"))</f>
        <v>OK</v>
      </c>
      <c r="T16" s="90" t="str">
        <f>IF(OR(AJ16=1,AK16=1),Intake_inconsistent,"OK")</f>
        <v>OK</v>
      </c>
      <c r="U16" s="856">
        <f>'Table 1 (Main)'!$O$31</f>
        <v>311</v>
      </c>
      <c r="V16" s="857">
        <f>I16-U16</f>
        <v>0</v>
      </c>
      <c r="W16" s="129" t="str">
        <f>IF(ABS(V16)&gt;0.1,"Does not equal figure in Table 1","OK")</f>
        <v>OK</v>
      </c>
      <c r="X16" s="706"/>
      <c r="Y16" s="127" t="str">
        <f>IF(AM16=1,Intake_missing,IF(AN16=1,Only_intake_recorded,"OK"))</f>
        <v>OK</v>
      </c>
      <c r="Z16" s="90" t="str">
        <f>IF(OR(AO16=1,AP16=1),Intake_inconsistent,"OK")</f>
        <v>OK</v>
      </c>
      <c r="AA16" s="856">
        <f>'Table 1 (Main)'!$O$29</f>
        <v>628</v>
      </c>
      <c r="AB16" s="857">
        <f>N16-AA16</f>
        <v>0</v>
      </c>
      <c r="AC16" s="129" t="str">
        <f>IF(ABS(AB16)&gt;0.1,"Does not equal figure in Table 1","OK")</f>
        <v>OK</v>
      </c>
      <c r="AD16" s="706"/>
      <c r="AE16" s="706"/>
      <c r="AH16" s="1417">
        <f>IF(AND($C16=0,$I16&gt;0),1,0)</f>
        <v>0</v>
      </c>
      <c r="AI16" s="1417">
        <f>IF(AND($C16&gt;0,$I16=0),1,0)</f>
        <v>0</v>
      </c>
      <c r="AJ16" s="1417">
        <f>IF($C16&gt;$I16,1,0)</f>
        <v>0</v>
      </c>
      <c r="AK16" s="1417">
        <f>IF(AND($C16&gt;0,$C16=$I16),1,0)</f>
        <v>0</v>
      </c>
      <c r="AL16" s="1427"/>
      <c r="AM16" s="1417">
        <f>IF(AND($J16=0,$N16&gt;0),1,0)</f>
        <v>0</v>
      </c>
      <c r="AN16" s="1417">
        <f>IF(AND($J16&gt;0,$N16=0),1,0)</f>
        <v>0</v>
      </c>
      <c r="AO16" s="1417">
        <f>IF($J16&gt;$N16,1,0)</f>
        <v>0</v>
      </c>
      <c r="AP16" s="1417">
        <f>IF(AND($J16&gt;0,$J16=$N16),1,0)</f>
        <v>0</v>
      </c>
    </row>
    <row r="17" spans="1:42" ht="30" customHeight="1">
      <c r="A17" s="1060"/>
      <c r="B17" s="789" t="s">
        <v>265</v>
      </c>
      <c r="C17" s="811">
        <v>58</v>
      </c>
      <c r="D17" s="823"/>
      <c r="E17" s="824">
        <v>61</v>
      </c>
      <c r="F17" s="824">
        <v>55</v>
      </c>
      <c r="G17" s="814"/>
      <c r="H17" s="814"/>
      <c r="I17" s="763">
        <f>SUM(D17:H17)</f>
        <v>116</v>
      </c>
      <c r="J17" s="825">
        <v>2</v>
      </c>
      <c r="K17" s="826">
        <v>58</v>
      </c>
      <c r="L17" s="824">
        <v>39</v>
      </c>
      <c r="M17" s="813">
        <v>3</v>
      </c>
      <c r="N17" s="754">
        <f>SUM(K17:M17)</f>
        <v>100</v>
      </c>
      <c r="O17" s="754">
        <f>SUM(I17,N17)</f>
        <v>216</v>
      </c>
      <c r="P17" s="816">
        <v>17</v>
      </c>
      <c r="Q17" s="712"/>
      <c r="R17" s="709"/>
      <c r="S17" s="127" t="str">
        <f>IF(AH17=1,Intake_missing,IF(AI17=1,Only_intake_recorded,"OK"))</f>
        <v>OK</v>
      </c>
      <c r="T17" s="90" t="str">
        <f>IF(OR(AJ17=1,AK17=1),Intake_inconsistent,"OK")</f>
        <v>OK</v>
      </c>
      <c r="U17" s="856">
        <f>'Table 1 (Main)'!$S$31</f>
        <v>116</v>
      </c>
      <c r="V17" s="857">
        <f>I17-U17</f>
        <v>0</v>
      </c>
      <c r="W17" s="129" t="str">
        <f>IF(ABS(V17)&gt;0.1,"Does not equal figure in Table 1","OK")</f>
        <v>OK</v>
      </c>
      <c r="X17" s="706"/>
      <c r="Y17" s="127" t="str">
        <f>IF(AM17=1,Intake_missing,IF(AN17=1,Only_intake_recorded,"OK"))</f>
        <v>OK</v>
      </c>
      <c r="Z17" s="90" t="str">
        <f>IF(OR(AO17=1,AP17=1),Intake_inconsistent,"OK")</f>
        <v>OK</v>
      </c>
      <c r="AA17" s="856">
        <f>'Table 1 (Main)'!$S$29</f>
        <v>100</v>
      </c>
      <c r="AB17" s="857">
        <f>N17-AA17</f>
        <v>0</v>
      </c>
      <c r="AC17" s="129" t="str">
        <f>IF(ABS(AB17)&gt;0.1,"Does not equal figure in Table 1","OK")</f>
        <v>OK</v>
      </c>
      <c r="AD17" s="706"/>
      <c r="AE17" s="706"/>
      <c r="AH17" s="1417">
        <f t="shared" ref="AH17:AH22" si="0">IF(AND($C17=0,$I17&gt;0),1,0)</f>
        <v>0</v>
      </c>
      <c r="AI17" s="1417">
        <f t="shared" ref="AI17:AI22" si="1">IF(AND($C17&gt;0,$I17=0),1,0)</f>
        <v>0</v>
      </c>
      <c r="AJ17" s="1417">
        <f t="shared" ref="AJ17:AJ22" si="2">IF($C17&gt;$I17,1,0)</f>
        <v>0</v>
      </c>
      <c r="AK17" s="1417">
        <f t="shared" ref="AK17:AK22" si="3">IF(AND($C17&gt;0,$C17=$I17),1,0)</f>
        <v>0</v>
      </c>
      <c r="AL17" s="1427"/>
      <c r="AM17" s="1417">
        <f>IF(AND($J17=0,$N17&gt;0),1,0)</f>
        <v>0</v>
      </c>
      <c r="AN17" s="1417">
        <f>IF(AND($J17&gt;0,$N17=0),1,0)</f>
        <v>0</v>
      </c>
      <c r="AO17" s="1417">
        <f>IF($J17&gt;$N17,1,0)</f>
        <v>0</v>
      </c>
      <c r="AP17" s="1417">
        <f>IF(AND($J17&gt;0,$J17=$N17),1,0)</f>
        <v>0</v>
      </c>
    </row>
    <row r="18" spans="1:42" ht="30" customHeight="1">
      <c r="A18" s="1060"/>
      <c r="B18" s="790" t="s">
        <v>267</v>
      </c>
      <c r="C18" s="784">
        <f>SUM(C16:C17)</f>
        <v>212</v>
      </c>
      <c r="D18" s="773">
        <f>SUM(D16:D17)</f>
        <v>0</v>
      </c>
      <c r="E18" s="751">
        <f t="shared" ref="E18:H18" si="4">SUM(E16:E17)</f>
        <v>219</v>
      </c>
      <c r="F18" s="751">
        <f t="shared" si="4"/>
        <v>208</v>
      </c>
      <c r="G18" s="751">
        <f t="shared" si="4"/>
        <v>0</v>
      </c>
      <c r="H18" s="751">
        <f t="shared" si="4"/>
        <v>0</v>
      </c>
      <c r="I18" s="764">
        <f>SUM(I16:I17)</f>
        <v>427</v>
      </c>
      <c r="J18" s="774">
        <f t="shared" ref="J18:N18" si="5">SUM(J16:J17)</f>
        <v>28</v>
      </c>
      <c r="K18" s="752">
        <f t="shared" si="5"/>
        <v>243</v>
      </c>
      <c r="L18" s="751">
        <f t="shared" si="5"/>
        <v>237</v>
      </c>
      <c r="M18" s="751">
        <f t="shared" si="5"/>
        <v>248</v>
      </c>
      <c r="N18" s="753">
        <f t="shared" si="5"/>
        <v>728</v>
      </c>
      <c r="O18" s="759">
        <f>SUM(O16:O17)</f>
        <v>1155</v>
      </c>
      <c r="P18" s="759">
        <f>SUM(P16:P17)</f>
        <v>66</v>
      </c>
      <c r="Q18" s="712"/>
      <c r="R18" s="709"/>
      <c r="S18" s="119"/>
      <c r="T18" s="844"/>
      <c r="U18" s="844"/>
      <c r="V18" s="845"/>
      <c r="W18" s="121"/>
      <c r="X18" s="706"/>
      <c r="Y18" s="119"/>
      <c r="Z18" s="844"/>
      <c r="AA18" s="844"/>
      <c r="AB18" s="845"/>
      <c r="AC18" s="121"/>
      <c r="AD18" s="706"/>
      <c r="AE18" s="706"/>
      <c r="AH18" s="1417"/>
      <c r="AI18" s="1417"/>
      <c r="AJ18" s="1417"/>
      <c r="AK18" s="1417"/>
      <c r="AL18" s="1427"/>
      <c r="AM18" s="1417"/>
      <c r="AN18" s="1417"/>
      <c r="AO18" s="1417"/>
      <c r="AP18" s="1417"/>
    </row>
    <row r="19" spans="1:42" ht="35.1" customHeight="1">
      <c r="A19" s="1060"/>
      <c r="B19" s="791" t="s">
        <v>198</v>
      </c>
      <c r="C19" s="785"/>
      <c r="D19" s="775"/>
      <c r="E19" s="723"/>
      <c r="F19" s="723"/>
      <c r="G19" s="723"/>
      <c r="H19" s="723"/>
      <c r="I19" s="765"/>
      <c r="J19" s="776"/>
      <c r="K19" s="722"/>
      <c r="L19" s="723"/>
      <c r="M19" s="721"/>
      <c r="N19" s="743"/>
      <c r="O19" s="760"/>
      <c r="P19" s="724"/>
      <c r="Q19" s="712"/>
      <c r="R19" s="709"/>
      <c r="S19" s="846"/>
      <c r="T19" s="847"/>
      <c r="U19" s="732"/>
      <c r="V19" s="733"/>
      <c r="W19" s="848"/>
      <c r="X19" s="706"/>
      <c r="Y19" s="846"/>
      <c r="Z19" s="847"/>
      <c r="AA19" s="732"/>
      <c r="AB19" s="733"/>
      <c r="AC19" s="848"/>
      <c r="AD19" s="706"/>
      <c r="AE19" s="706"/>
      <c r="AH19" s="1428"/>
      <c r="AI19" s="1428"/>
      <c r="AJ19" s="1428"/>
      <c r="AK19" s="1428"/>
      <c r="AL19" s="1427"/>
      <c r="AM19" s="1405"/>
    </row>
    <row r="20" spans="1:42" ht="30" customHeight="1">
      <c r="A20" s="1060"/>
      <c r="B20" s="789" t="s">
        <v>208</v>
      </c>
      <c r="C20" s="811" t="s">
        <v>468</v>
      </c>
      <c r="D20" s="812"/>
      <c r="E20" s="813"/>
      <c r="F20" s="813"/>
      <c r="G20" s="814"/>
      <c r="H20" s="814"/>
      <c r="I20" s="763">
        <f>SUM(D20:H20)</f>
        <v>0</v>
      </c>
      <c r="J20" s="815">
        <v>15</v>
      </c>
      <c r="K20" s="814">
        <v>15</v>
      </c>
      <c r="L20" s="813">
        <v>15</v>
      </c>
      <c r="M20" s="813">
        <v>15</v>
      </c>
      <c r="N20" s="754">
        <f t="shared" ref="N20:N22" si="6">SUM(K20:M20)</f>
        <v>45</v>
      </c>
      <c r="O20" s="754">
        <f t="shared" ref="O20:O21" si="7">SUM(I20,N20)</f>
        <v>45</v>
      </c>
      <c r="P20" s="816"/>
      <c r="Q20" s="712"/>
      <c r="R20" s="709"/>
      <c r="S20" s="127" t="str">
        <f>IF(AH20=1,Intake_missing,IF(AI20=1,Only_intake_recorded,"OK"))</f>
        <v>OK</v>
      </c>
      <c r="T20" s="90" t="str">
        <f>IF(OR(AJ20=1,AK20=1),Intake_inconsistent,"OK")</f>
        <v>OK</v>
      </c>
      <c r="U20" s="849"/>
      <c r="V20" s="733"/>
      <c r="W20" s="848"/>
      <c r="X20" s="706"/>
      <c r="Y20" s="127" t="str">
        <f>IF(AM20=1,Intake_missing,IF(AN20=1,Only_intake_recorded,"OK"))</f>
        <v>OK</v>
      </c>
      <c r="Z20" s="90" t="str">
        <f>IF(OR(AO20=1,AP20=1),Intake_inconsistent,"OK")</f>
        <v>OK</v>
      </c>
      <c r="AA20" s="849"/>
      <c r="AB20" s="733"/>
      <c r="AC20" s="848"/>
      <c r="AD20" s="706"/>
      <c r="AE20" s="706"/>
      <c r="AH20" s="1417">
        <f t="shared" si="0"/>
        <v>0</v>
      </c>
      <c r="AI20" s="1417">
        <f t="shared" si="1"/>
        <v>0</v>
      </c>
      <c r="AJ20" s="1417">
        <f t="shared" si="2"/>
        <v>0</v>
      </c>
      <c r="AK20" s="1417">
        <f t="shared" si="3"/>
        <v>0</v>
      </c>
      <c r="AL20" s="1427"/>
      <c r="AM20" s="1417">
        <f t="shared" ref="AM20:AM22" si="8">IF(AND($J20=0,$N20&gt;0),1,0)</f>
        <v>0</v>
      </c>
      <c r="AN20" s="1417">
        <f t="shared" ref="AN20:AN22" si="9">IF(AND($J20&gt;0,$N20=0),1,0)</f>
        <v>0</v>
      </c>
      <c r="AO20" s="1417">
        <f t="shared" ref="AO20:AO22" si="10">IF($J20&gt;$N20,1,0)</f>
        <v>0</v>
      </c>
      <c r="AP20" s="1417">
        <f t="shared" ref="AP20:AP22" si="11">IF(AND($J20&gt;0,$J20=$N20),1,0)</f>
        <v>0</v>
      </c>
    </row>
    <row r="21" spans="1:42" ht="30" customHeight="1">
      <c r="A21" s="1060"/>
      <c r="B21" s="789" t="s">
        <v>209</v>
      </c>
      <c r="C21" s="811"/>
      <c r="D21" s="812"/>
      <c r="E21" s="813"/>
      <c r="F21" s="813"/>
      <c r="G21" s="814"/>
      <c r="H21" s="814"/>
      <c r="I21" s="763">
        <f>SUM(D21:H21)</f>
        <v>0</v>
      </c>
      <c r="J21" s="815"/>
      <c r="K21" s="814"/>
      <c r="L21" s="813"/>
      <c r="M21" s="813"/>
      <c r="N21" s="754">
        <f t="shared" si="6"/>
        <v>0</v>
      </c>
      <c r="O21" s="754">
        <f t="shared" si="7"/>
        <v>0</v>
      </c>
      <c r="P21" s="816"/>
      <c r="Q21" s="712"/>
      <c r="R21" s="709"/>
      <c r="S21" s="127" t="str">
        <f>IF(AH21=1,Intake_missing,IF(AI21=1,Only_intake_recorded,"OK"))</f>
        <v>OK</v>
      </c>
      <c r="T21" s="90" t="str">
        <f>IF(OR(AJ21=1,AK21=1),Intake_inconsistent,"OK")</f>
        <v>OK</v>
      </c>
      <c r="U21" s="849"/>
      <c r="V21" s="733"/>
      <c r="W21" s="848"/>
      <c r="X21" s="706"/>
      <c r="Y21" s="127" t="str">
        <f>IF(AM21=1,Intake_missing,IF(AN21=1,Only_intake_recorded,"OK"))</f>
        <v>OK</v>
      </c>
      <c r="Z21" s="90" t="str">
        <f>IF(OR(AO21=1,AP21=1),Intake_inconsistent,"OK")</f>
        <v>OK</v>
      </c>
      <c r="AA21" s="849"/>
      <c r="AB21" s="733"/>
      <c r="AC21" s="848"/>
      <c r="AD21" s="706"/>
      <c r="AE21" s="706"/>
      <c r="AH21" s="1417">
        <f t="shared" si="0"/>
        <v>0</v>
      </c>
      <c r="AI21" s="1417">
        <f t="shared" si="1"/>
        <v>0</v>
      </c>
      <c r="AJ21" s="1417">
        <f t="shared" si="2"/>
        <v>0</v>
      </c>
      <c r="AK21" s="1417">
        <f t="shared" si="3"/>
        <v>0</v>
      </c>
      <c r="AL21" s="1427"/>
      <c r="AM21" s="1417">
        <f t="shared" si="8"/>
        <v>0</v>
      </c>
      <c r="AN21" s="1417">
        <f t="shared" si="9"/>
        <v>0</v>
      </c>
      <c r="AO21" s="1417">
        <f t="shared" si="10"/>
        <v>0</v>
      </c>
      <c r="AP21" s="1417">
        <f t="shared" si="11"/>
        <v>0</v>
      </c>
    </row>
    <row r="22" spans="1:42" ht="30" customHeight="1" thickBot="1">
      <c r="A22" s="1060"/>
      <c r="B22" s="789" t="s">
        <v>85</v>
      </c>
      <c r="C22" s="811">
        <v>25</v>
      </c>
      <c r="D22" s="812"/>
      <c r="E22" s="813">
        <v>25</v>
      </c>
      <c r="F22" s="813">
        <v>26</v>
      </c>
      <c r="G22" s="814"/>
      <c r="H22" s="814"/>
      <c r="I22" s="763">
        <f>SUM(D22:H22)</f>
        <v>51</v>
      </c>
      <c r="J22" s="815">
        <v>10</v>
      </c>
      <c r="K22" s="814">
        <v>27</v>
      </c>
      <c r="L22" s="813">
        <v>26</v>
      </c>
      <c r="M22" s="813">
        <v>17</v>
      </c>
      <c r="N22" s="754">
        <f t="shared" si="6"/>
        <v>70</v>
      </c>
      <c r="O22" s="754">
        <f>SUM(I22,N22)</f>
        <v>121</v>
      </c>
      <c r="P22" s="816">
        <v>4</v>
      </c>
      <c r="Q22" s="712"/>
      <c r="R22" s="709"/>
      <c r="S22" s="140" t="str">
        <f>IF(AH22=1,Intake_missing,IF(AI22=1,Only_intake_recorded,"OK"))</f>
        <v>OK</v>
      </c>
      <c r="T22" s="726" t="str">
        <f>IF(OR(AJ22=1,AK22=1),Intake_inconsistent,"OK")</f>
        <v>OK</v>
      </c>
      <c r="U22" s="850"/>
      <c r="V22" s="851"/>
      <c r="W22" s="852"/>
      <c r="X22" s="706"/>
      <c r="Y22" s="140" t="str">
        <f>IF(AM22=1,Intake_missing,IF(AN22=1,Only_intake_recorded,"OK"))</f>
        <v>OK</v>
      </c>
      <c r="Z22" s="726" t="str">
        <f>IF(OR(AO22=1,AP22=1),Intake_inconsistent,"OK")</f>
        <v>OK</v>
      </c>
      <c r="AA22" s="850"/>
      <c r="AB22" s="851"/>
      <c r="AC22" s="852"/>
      <c r="AD22" s="706"/>
      <c r="AE22" s="706"/>
      <c r="AH22" s="1417">
        <f t="shared" si="0"/>
        <v>0</v>
      </c>
      <c r="AI22" s="1417">
        <f t="shared" si="1"/>
        <v>0</v>
      </c>
      <c r="AJ22" s="1417">
        <f t="shared" si="2"/>
        <v>0</v>
      </c>
      <c r="AK22" s="1417">
        <f t="shared" si="3"/>
        <v>0</v>
      </c>
      <c r="AL22" s="1427"/>
      <c r="AM22" s="1417">
        <f t="shared" si="8"/>
        <v>0</v>
      </c>
      <c r="AN22" s="1417">
        <f t="shared" si="9"/>
        <v>0</v>
      </c>
      <c r="AO22" s="1417">
        <f t="shared" si="10"/>
        <v>0</v>
      </c>
      <c r="AP22" s="1417">
        <f t="shared" si="11"/>
        <v>0</v>
      </c>
    </row>
    <row r="23" spans="1:42" ht="30" customHeight="1">
      <c r="A23" s="1060"/>
      <c r="B23" s="792" t="s">
        <v>222</v>
      </c>
      <c r="C23" s="784">
        <f>SUM(C20:C22)</f>
        <v>25</v>
      </c>
      <c r="D23" s="777">
        <f>SUM(D20:D22)</f>
        <v>0</v>
      </c>
      <c r="E23" s="750">
        <f t="shared" ref="E23:M23" si="12">SUM(E20:E22)</f>
        <v>25</v>
      </c>
      <c r="F23" s="750">
        <f t="shared" si="12"/>
        <v>26</v>
      </c>
      <c r="G23" s="750">
        <f t="shared" si="12"/>
        <v>0</v>
      </c>
      <c r="H23" s="750">
        <f t="shared" si="12"/>
        <v>0</v>
      </c>
      <c r="I23" s="766">
        <f>SUM(I20:I22)</f>
        <v>51</v>
      </c>
      <c r="J23" s="778">
        <f t="shared" si="12"/>
        <v>25</v>
      </c>
      <c r="K23" s="749">
        <f t="shared" si="12"/>
        <v>42</v>
      </c>
      <c r="L23" s="750">
        <f t="shared" si="12"/>
        <v>41</v>
      </c>
      <c r="M23" s="750">
        <f t="shared" si="12"/>
        <v>32</v>
      </c>
      <c r="N23" s="758">
        <f>SUM(N20:N22)</f>
        <v>115</v>
      </c>
      <c r="O23" s="754">
        <f>SUM(O20:O22)</f>
        <v>166</v>
      </c>
      <c r="P23" s="754">
        <f>SUM(P20:P22)</f>
        <v>4</v>
      </c>
      <c r="Q23" s="712"/>
      <c r="R23" s="709"/>
      <c r="S23" s="715"/>
      <c r="T23" s="715"/>
      <c r="U23" s="715"/>
      <c r="V23" s="727"/>
      <c r="W23" s="715"/>
      <c r="X23" s="706"/>
      <c r="Y23" s="706"/>
      <c r="Z23" s="706"/>
      <c r="AA23" s="706"/>
      <c r="AB23" s="706"/>
      <c r="AC23" s="706"/>
      <c r="AD23" s="706"/>
      <c r="AE23" s="706"/>
      <c r="AH23" s="1428"/>
      <c r="AI23" s="1428"/>
      <c r="AJ23" s="1428"/>
      <c r="AK23" s="1428"/>
      <c r="AL23" s="1427"/>
      <c r="AM23" s="1405"/>
    </row>
    <row r="24" spans="1:42" ht="35.1" customHeight="1" thickBot="1">
      <c r="A24" s="1060"/>
      <c r="B24" s="793" t="s">
        <v>2</v>
      </c>
      <c r="C24" s="810">
        <f>SUM(C18,C23)</f>
        <v>237</v>
      </c>
      <c r="D24" s="817">
        <f>SUM(D18,D23)</f>
        <v>0</v>
      </c>
      <c r="E24" s="818">
        <f>SUM(E18,E23)</f>
        <v>244</v>
      </c>
      <c r="F24" s="818">
        <f t="shared" ref="F24:O24" si="13">SUM(F18,F23)</f>
        <v>234</v>
      </c>
      <c r="G24" s="818">
        <f t="shared" si="13"/>
        <v>0</v>
      </c>
      <c r="H24" s="818">
        <f t="shared" si="13"/>
        <v>0</v>
      </c>
      <c r="I24" s="819">
        <f t="shared" si="13"/>
        <v>478</v>
      </c>
      <c r="J24" s="809">
        <f t="shared" si="13"/>
        <v>53</v>
      </c>
      <c r="K24" s="820">
        <f t="shared" si="13"/>
        <v>285</v>
      </c>
      <c r="L24" s="818">
        <f t="shared" si="13"/>
        <v>278</v>
      </c>
      <c r="M24" s="818">
        <f t="shared" si="13"/>
        <v>280</v>
      </c>
      <c r="N24" s="821">
        <f t="shared" si="13"/>
        <v>843</v>
      </c>
      <c r="O24" s="822">
        <f t="shared" si="13"/>
        <v>1321</v>
      </c>
      <c r="P24" s="822">
        <f>SUM(P18,P23)</f>
        <v>70</v>
      </c>
      <c r="Q24" s="712"/>
      <c r="R24" s="709"/>
      <c r="S24" s="715"/>
      <c r="T24" s="715"/>
      <c r="U24" s="715"/>
      <c r="V24" s="727"/>
      <c r="W24" s="715"/>
      <c r="X24" s="706"/>
      <c r="Y24" s="706"/>
      <c r="Z24" s="706"/>
      <c r="AA24" s="706"/>
      <c r="AB24" s="706"/>
      <c r="AC24" s="706"/>
      <c r="AD24" s="706"/>
      <c r="AE24" s="706"/>
      <c r="AH24" s="1428"/>
      <c r="AI24" s="1428"/>
      <c r="AJ24" s="1428"/>
      <c r="AK24" s="1428"/>
      <c r="AL24" s="1427"/>
      <c r="AM24" s="1405"/>
    </row>
    <row r="25" spans="1:42" ht="30" customHeight="1" thickBot="1">
      <c r="A25" s="1060"/>
      <c r="B25" s="729"/>
      <c r="C25" s="729"/>
      <c r="D25" s="729"/>
      <c r="E25" s="729"/>
      <c r="F25" s="729"/>
      <c r="G25" s="729"/>
      <c r="H25" s="729"/>
      <c r="I25" s="729"/>
      <c r="J25" s="729"/>
      <c r="K25" s="729"/>
      <c r="L25" s="729"/>
      <c r="M25" s="729"/>
      <c r="N25" s="729"/>
      <c r="O25" s="730"/>
      <c r="P25" s="730"/>
      <c r="Q25" s="712"/>
      <c r="R25" s="709"/>
      <c r="S25" s="716"/>
      <c r="T25" s="716"/>
      <c r="U25" s="716"/>
      <c r="V25" s="731"/>
      <c r="W25" s="716"/>
      <c r="X25" s="706"/>
      <c r="Y25" s="706"/>
      <c r="Z25" s="706"/>
      <c r="AA25" s="706"/>
      <c r="AB25" s="706"/>
      <c r="AC25" s="706"/>
      <c r="AD25" s="706"/>
      <c r="AE25" s="706"/>
      <c r="AH25" s="1417"/>
      <c r="AI25" s="1417"/>
      <c r="AJ25" s="1416"/>
      <c r="AK25" s="1429"/>
      <c r="AL25" s="1427"/>
      <c r="AM25" s="1405"/>
    </row>
    <row r="26" spans="1:42" ht="39.950000000000003" customHeight="1" thickBot="1">
      <c r="A26" s="1060"/>
      <c r="B26" s="1752" t="s">
        <v>181</v>
      </c>
      <c r="C26" s="1753"/>
      <c r="D26" s="1753"/>
      <c r="E26" s="1753"/>
      <c r="F26" s="1753"/>
      <c r="G26" s="1753"/>
      <c r="H26" s="1753"/>
      <c r="I26" s="1753"/>
      <c r="J26" s="1753"/>
      <c r="K26" s="1753"/>
      <c r="L26" s="1753"/>
      <c r="M26" s="1753"/>
      <c r="N26" s="1754"/>
      <c r="O26" s="713"/>
      <c r="P26" s="713"/>
      <c r="Q26" s="712"/>
      <c r="R26" s="709"/>
      <c r="S26" s="716"/>
      <c r="T26" s="716"/>
      <c r="U26" s="716"/>
      <c r="V26" s="731"/>
      <c r="W26" s="716"/>
      <c r="X26" s="706"/>
      <c r="Y26" s="706"/>
      <c r="Z26" s="706"/>
      <c r="AA26" s="706"/>
      <c r="AB26" s="706"/>
      <c r="AC26" s="706"/>
      <c r="AD26" s="706"/>
      <c r="AE26" s="706"/>
      <c r="AH26" s="1417"/>
      <c r="AI26" s="1417"/>
      <c r="AJ26" s="1416"/>
      <c r="AK26" s="1429"/>
      <c r="AL26" s="1427"/>
      <c r="AM26" s="1405"/>
    </row>
    <row r="27" spans="1:42" ht="39.950000000000003" customHeight="1" thickBot="1">
      <c r="A27" s="1060"/>
      <c r="B27" s="796"/>
      <c r="C27" s="1752" t="s">
        <v>200</v>
      </c>
      <c r="D27" s="1753"/>
      <c r="E27" s="1753"/>
      <c r="F27" s="1753"/>
      <c r="G27" s="1753"/>
      <c r="H27" s="1753"/>
      <c r="I27" s="1753"/>
      <c r="J27" s="1753"/>
      <c r="K27" s="1753"/>
      <c r="L27" s="1753"/>
      <c r="M27" s="1754"/>
      <c r="N27" s="1751" t="s">
        <v>177</v>
      </c>
      <c r="O27" s="713"/>
      <c r="P27" s="713"/>
      <c r="Q27" s="712"/>
      <c r="R27" s="709"/>
      <c r="S27" s="716"/>
      <c r="T27" s="716"/>
      <c r="U27" s="716"/>
      <c r="V27" s="731"/>
      <c r="W27" s="716"/>
      <c r="X27" s="706"/>
      <c r="Y27" s="706"/>
      <c r="Z27" s="706"/>
      <c r="AA27" s="706"/>
      <c r="AB27" s="706"/>
      <c r="AC27" s="706"/>
      <c r="AD27" s="706"/>
      <c r="AE27" s="706"/>
      <c r="AH27" s="1417"/>
      <c r="AI27" s="1417"/>
      <c r="AJ27" s="1416"/>
      <c r="AK27" s="1429"/>
      <c r="AL27" s="1427"/>
      <c r="AM27" s="1405"/>
    </row>
    <row r="28" spans="1:42" ht="39.950000000000003" customHeight="1" thickBot="1">
      <c r="A28" s="1060"/>
      <c r="B28" s="796"/>
      <c r="C28" s="1752" t="s">
        <v>4</v>
      </c>
      <c r="D28" s="1753"/>
      <c r="E28" s="1753"/>
      <c r="F28" s="1754"/>
      <c r="G28" s="1748" t="s">
        <v>30</v>
      </c>
      <c r="H28" s="1749"/>
      <c r="I28" s="1749"/>
      <c r="J28" s="1749"/>
      <c r="K28" s="1749"/>
      <c r="L28" s="1750"/>
      <c r="M28" s="794" t="s">
        <v>2</v>
      </c>
      <c r="N28" s="1751"/>
      <c r="O28" s="713"/>
      <c r="P28" s="713"/>
      <c r="Q28" s="712"/>
      <c r="R28" s="709"/>
      <c r="S28" s="858"/>
      <c r="T28" s="858"/>
      <c r="U28" s="858"/>
      <c r="V28" s="858"/>
      <c r="W28" s="858"/>
      <c r="X28" s="860"/>
      <c r="Y28" s="858"/>
      <c r="Z28" s="858"/>
      <c r="AA28" s="858"/>
      <c r="AB28" s="858"/>
      <c r="AC28" s="858"/>
      <c r="AD28" s="706"/>
      <c r="AE28" s="706"/>
      <c r="AH28" s="1417"/>
      <c r="AI28" s="1417"/>
      <c r="AJ28" s="1416"/>
      <c r="AK28" s="1429"/>
      <c r="AL28" s="1427"/>
      <c r="AM28" s="1405"/>
    </row>
    <row r="29" spans="1:42" ht="54.95" customHeight="1">
      <c r="A29" s="1060"/>
      <c r="B29" s="748" t="s">
        <v>199</v>
      </c>
      <c r="C29" s="802" t="s">
        <v>132</v>
      </c>
      <c r="D29" s="779">
        <v>0</v>
      </c>
      <c r="E29" s="780" t="s">
        <v>25</v>
      </c>
      <c r="F29" s="757" t="s">
        <v>210</v>
      </c>
      <c r="G29" s="762" t="s">
        <v>132</v>
      </c>
      <c r="H29" s="779" t="s">
        <v>14</v>
      </c>
      <c r="I29" s="780" t="s">
        <v>15</v>
      </c>
      <c r="J29" s="780" t="s">
        <v>16</v>
      </c>
      <c r="K29" s="780" t="s">
        <v>17</v>
      </c>
      <c r="L29" s="757" t="s">
        <v>210</v>
      </c>
      <c r="M29" s="718"/>
      <c r="N29" s="1751"/>
      <c r="O29" s="713"/>
      <c r="P29" s="713"/>
      <c r="Q29" s="712"/>
      <c r="R29" s="709"/>
      <c r="S29" s="1758" t="s">
        <v>4</v>
      </c>
      <c r="T29" s="1759"/>
      <c r="U29" s="1759"/>
      <c r="V29" s="1759"/>
      <c r="W29" s="1760"/>
      <c r="X29" s="706"/>
      <c r="Y29" s="1758" t="s">
        <v>30</v>
      </c>
      <c r="Z29" s="1759"/>
      <c r="AA29" s="1759"/>
      <c r="AB29" s="1759"/>
      <c r="AC29" s="1760"/>
      <c r="AD29" s="706"/>
      <c r="AE29" s="706"/>
      <c r="AH29" s="1417"/>
      <c r="AI29" s="1417"/>
      <c r="AJ29" s="1416"/>
      <c r="AK29" s="1429"/>
      <c r="AL29" s="1427"/>
      <c r="AM29" s="1405"/>
    </row>
    <row r="30" spans="1:42" ht="30" customHeight="1">
      <c r="A30" s="1060"/>
      <c r="B30" s="745"/>
      <c r="C30" s="799" t="s">
        <v>18</v>
      </c>
      <c r="D30" s="767" t="s">
        <v>18</v>
      </c>
      <c r="E30" s="717" t="s">
        <v>18</v>
      </c>
      <c r="F30" s="742" t="s">
        <v>18</v>
      </c>
      <c r="G30" s="782" t="s">
        <v>18</v>
      </c>
      <c r="H30" s="767" t="s">
        <v>18</v>
      </c>
      <c r="I30" s="717" t="s">
        <v>18</v>
      </c>
      <c r="J30" s="717" t="s">
        <v>18</v>
      </c>
      <c r="K30" s="717" t="s">
        <v>18</v>
      </c>
      <c r="L30" s="742" t="s">
        <v>18</v>
      </c>
      <c r="M30" s="718" t="s">
        <v>18</v>
      </c>
      <c r="N30" s="718" t="s">
        <v>18</v>
      </c>
      <c r="O30" s="713"/>
      <c r="P30" s="713"/>
      <c r="Q30" s="712"/>
      <c r="R30" s="709"/>
      <c r="S30" s="1721" t="s">
        <v>223</v>
      </c>
      <c r="T30" s="1709" t="s">
        <v>224</v>
      </c>
      <c r="U30" s="1755" t="s">
        <v>238</v>
      </c>
      <c r="V30" s="1756"/>
      <c r="W30" s="1757"/>
      <c r="X30" s="706"/>
      <c r="Y30" s="1721" t="s">
        <v>223</v>
      </c>
      <c r="Z30" s="1709" t="s">
        <v>224</v>
      </c>
      <c r="AA30" s="1755" t="s">
        <v>238</v>
      </c>
      <c r="AB30" s="1756"/>
      <c r="AC30" s="1757"/>
      <c r="AD30" s="706"/>
      <c r="AE30" s="706"/>
      <c r="AH30" s="1417"/>
      <c r="AI30" s="1417"/>
      <c r="AJ30" s="1416"/>
      <c r="AK30" s="1429"/>
      <c r="AL30" s="1427"/>
      <c r="AM30" s="1405"/>
    </row>
    <row r="31" spans="1:42" ht="39.950000000000003" customHeight="1">
      <c r="A31" s="1060"/>
      <c r="B31" s="745"/>
      <c r="C31" s="800" t="s">
        <v>31</v>
      </c>
      <c r="D31" s="769" t="s">
        <v>31</v>
      </c>
      <c r="E31" s="746" t="s">
        <v>31</v>
      </c>
      <c r="F31" s="757" t="s">
        <v>131</v>
      </c>
      <c r="G31" s="783" t="s">
        <v>31</v>
      </c>
      <c r="H31" s="769" t="s">
        <v>31</v>
      </c>
      <c r="I31" s="746" t="s">
        <v>31</v>
      </c>
      <c r="J31" s="746" t="s">
        <v>31</v>
      </c>
      <c r="K31" s="746" t="s">
        <v>31</v>
      </c>
      <c r="L31" s="757" t="s">
        <v>131</v>
      </c>
      <c r="M31" s="908" t="s">
        <v>131</v>
      </c>
      <c r="N31" s="756" t="s">
        <v>31</v>
      </c>
      <c r="O31" s="713"/>
      <c r="P31" s="715"/>
      <c r="Q31" s="712"/>
      <c r="R31" s="709"/>
      <c r="S31" s="1712"/>
      <c r="T31" s="1714"/>
      <c r="U31" s="582" t="s">
        <v>61</v>
      </c>
      <c r="V31" s="1709" t="s">
        <v>239</v>
      </c>
      <c r="W31" s="66" t="s">
        <v>80</v>
      </c>
      <c r="X31" s="706"/>
      <c r="Y31" s="1712"/>
      <c r="Z31" s="1714"/>
      <c r="AA31" s="582" t="s">
        <v>61</v>
      </c>
      <c r="AB31" s="1709" t="s">
        <v>239</v>
      </c>
      <c r="AC31" s="66" t="s">
        <v>80</v>
      </c>
      <c r="AD31" s="706"/>
      <c r="AE31" s="706"/>
      <c r="AH31" s="1417"/>
      <c r="AI31" s="1417"/>
      <c r="AJ31" s="1416"/>
      <c r="AK31" s="1429"/>
      <c r="AL31" s="1427"/>
      <c r="AM31" s="1405"/>
    </row>
    <row r="32" spans="1:42" ht="30" customHeight="1" thickBot="1">
      <c r="A32" s="1060"/>
      <c r="B32" s="755"/>
      <c r="C32" s="1608">
        <v>1</v>
      </c>
      <c r="D32" s="1603">
        <v>2</v>
      </c>
      <c r="E32" s="1604">
        <v>3</v>
      </c>
      <c r="F32" s="1609">
        <v>4</v>
      </c>
      <c r="G32" s="1602">
        <v>5</v>
      </c>
      <c r="H32" s="1603">
        <v>6</v>
      </c>
      <c r="I32" s="1602">
        <v>7</v>
      </c>
      <c r="J32" s="1604">
        <v>8</v>
      </c>
      <c r="K32" s="1605">
        <v>9</v>
      </c>
      <c r="L32" s="1607">
        <v>10</v>
      </c>
      <c r="M32" s="1606">
        <v>11</v>
      </c>
      <c r="N32" s="1609">
        <v>12</v>
      </c>
      <c r="O32" s="713"/>
      <c r="P32" s="715"/>
      <c r="Q32" s="712"/>
      <c r="R32" s="709"/>
      <c r="S32" s="841"/>
      <c r="T32" s="583"/>
      <c r="U32" s="842"/>
      <c r="V32" s="1710"/>
      <c r="W32" s="843"/>
      <c r="X32" s="706"/>
      <c r="Y32" s="841"/>
      <c r="Z32" s="583"/>
      <c r="AA32" s="842"/>
      <c r="AB32" s="1710"/>
      <c r="AC32" s="843"/>
      <c r="AD32" s="706"/>
      <c r="AE32" s="706"/>
      <c r="AH32" s="1417"/>
      <c r="AI32" s="1417"/>
      <c r="AJ32" s="1416"/>
      <c r="AK32" s="1429"/>
      <c r="AL32" s="1427"/>
      <c r="AM32" s="1405"/>
    </row>
    <row r="33" spans="1:42" ht="35.1" customHeight="1">
      <c r="A33" s="1060"/>
      <c r="B33" s="748" t="s">
        <v>266</v>
      </c>
      <c r="C33" s="800"/>
      <c r="D33" s="769"/>
      <c r="E33" s="746"/>
      <c r="F33" s="908"/>
      <c r="G33" s="783"/>
      <c r="H33" s="769"/>
      <c r="I33" s="746"/>
      <c r="J33" s="746"/>
      <c r="K33" s="746"/>
      <c r="L33" s="908"/>
      <c r="M33" s="781"/>
      <c r="N33" s="756"/>
      <c r="O33" s="713"/>
      <c r="P33" s="715"/>
      <c r="Q33" s="712"/>
      <c r="R33" s="709"/>
      <c r="S33" s="853"/>
      <c r="T33" s="854"/>
      <c r="U33" s="854"/>
      <c r="V33" s="854"/>
      <c r="W33" s="855"/>
      <c r="X33" s="706"/>
      <c r="Y33" s="853"/>
      <c r="Z33" s="854"/>
      <c r="AA33" s="854"/>
      <c r="AB33" s="854"/>
      <c r="AC33" s="855"/>
      <c r="AD33" s="706"/>
      <c r="AE33" s="706"/>
      <c r="AH33" s="1417"/>
      <c r="AI33" s="1417"/>
      <c r="AJ33" s="1416"/>
      <c r="AK33" s="1429"/>
      <c r="AL33" s="1427"/>
      <c r="AM33" s="1405"/>
    </row>
    <row r="34" spans="1:42" ht="30" customHeight="1">
      <c r="A34" s="1060"/>
      <c r="B34" s="725" t="s">
        <v>197</v>
      </c>
      <c r="C34" s="827">
        <v>53</v>
      </c>
      <c r="D34" s="823"/>
      <c r="E34" s="824">
        <v>53</v>
      </c>
      <c r="F34" s="804">
        <f>SUM(D34:E34)</f>
        <v>53</v>
      </c>
      <c r="G34" s="828"/>
      <c r="H34" s="823">
        <v>51</v>
      </c>
      <c r="I34" s="824">
        <v>66</v>
      </c>
      <c r="J34" s="824">
        <v>72</v>
      </c>
      <c r="K34" s="824">
        <v>91</v>
      </c>
      <c r="L34" s="804">
        <f>SUM(H34:K34)</f>
        <v>280</v>
      </c>
      <c r="M34" s="806">
        <f>SUM(F34,L34)</f>
        <v>333</v>
      </c>
      <c r="N34" s="838"/>
      <c r="O34" s="713"/>
      <c r="P34" s="713"/>
      <c r="Q34" s="712"/>
      <c r="R34" s="709"/>
      <c r="S34" s="127" t="str">
        <f>IF(AH34=1,Intake_missing,IF(AI34=1,Only_intake_recorded,"OK"))</f>
        <v>OK</v>
      </c>
      <c r="T34" s="90" t="str">
        <f>IF(OR(AJ34=1,AK34=1),Intake_inconsistent,"OK")</f>
        <v>Intake inconsistent with enrolments?</v>
      </c>
      <c r="U34" s="856">
        <f>'Table 1 (Main)'!$O$32</f>
        <v>53</v>
      </c>
      <c r="V34" s="857">
        <f>F34-U34</f>
        <v>0</v>
      </c>
      <c r="W34" s="129" t="str">
        <f>IF(ABS(V34)&gt;0.1,"Does not equal figure in Table 1","OK")</f>
        <v>OK</v>
      </c>
      <c r="X34" s="706"/>
      <c r="Y34" s="127" t="str">
        <f>IF(AN34=1,Only_intake_recorded,"OK")</f>
        <v>OK</v>
      </c>
      <c r="Z34" s="90" t="str">
        <f>IF(OR(AO34=1,AP34=1),Intake_inconsistent,"OK")</f>
        <v>OK</v>
      </c>
      <c r="AA34" s="856">
        <f>'Table 1 (Main)'!$O$30</f>
        <v>280</v>
      </c>
      <c r="AB34" s="857">
        <f>L34-AA34</f>
        <v>0</v>
      </c>
      <c r="AC34" s="129" t="str">
        <f>IF(ABS(AB34)&gt;0.1,"Does not equal figure in Table 1","OK")</f>
        <v>OK</v>
      </c>
      <c r="AD34" s="706"/>
      <c r="AE34" s="706"/>
      <c r="AH34" s="1417">
        <f>IF(AND($C34=0,$F34&gt;0),1,0)</f>
        <v>0</v>
      </c>
      <c r="AI34" s="1417">
        <f>IF(AND($C34&gt;0,$F34=0),1,0)</f>
        <v>0</v>
      </c>
      <c r="AJ34" s="1417">
        <f>IF($C34&gt;$F34,1,0)</f>
        <v>0</v>
      </c>
      <c r="AK34" s="1417">
        <f>IF(AND($C34&gt;0,$C34=$F34),1,0)</f>
        <v>1</v>
      </c>
      <c r="AL34" s="1427"/>
      <c r="AM34" s="1417"/>
      <c r="AN34" s="1417">
        <f>IF(AND($G34&gt;0,$L34=0),1,0)</f>
        <v>0</v>
      </c>
      <c r="AO34" s="1417">
        <f>IF($G34&gt;$L34,1,0)</f>
        <v>0</v>
      </c>
      <c r="AP34" s="1417">
        <f>IF(AND($G34&gt;0,$G34=$L34),1,0)</f>
        <v>0</v>
      </c>
    </row>
    <row r="35" spans="1:42" ht="30" customHeight="1">
      <c r="A35" s="1060"/>
      <c r="B35" s="725" t="s">
        <v>265</v>
      </c>
      <c r="C35" s="829">
        <v>14</v>
      </c>
      <c r="D35" s="830"/>
      <c r="E35" s="831">
        <v>14</v>
      </c>
      <c r="F35" s="803">
        <f t="shared" ref="F35" si="14">SUM(D35:E35)</f>
        <v>14</v>
      </c>
      <c r="G35" s="832"/>
      <c r="H35" s="833">
        <v>15</v>
      </c>
      <c r="I35" s="834">
        <v>16</v>
      </c>
      <c r="J35" s="834">
        <v>9</v>
      </c>
      <c r="K35" s="834"/>
      <c r="L35" s="803">
        <f t="shared" ref="L35:L37" si="15">SUM(H35:K35)</f>
        <v>40</v>
      </c>
      <c r="M35" s="807">
        <f t="shared" ref="M35:M37" si="16">SUM(F35,L35)</f>
        <v>54</v>
      </c>
      <c r="N35" s="839"/>
      <c r="O35" s="713"/>
      <c r="P35" s="713"/>
      <c r="Q35" s="712"/>
      <c r="R35" s="709"/>
      <c r="S35" s="127" t="str">
        <f>IF(AH35=1,Intake_missing,IF(AI35=1,Only_intake_recorded,"OK"))</f>
        <v>OK</v>
      </c>
      <c r="T35" s="90" t="str">
        <f>IF(OR(AJ35=1,AK35=1),Intake_inconsistent,"OK")</f>
        <v>Intake inconsistent with enrolments?</v>
      </c>
      <c r="U35" s="856">
        <f>'Table 1 (Main)'!$S$32</f>
        <v>14</v>
      </c>
      <c r="V35" s="857">
        <f>F35-U35</f>
        <v>0</v>
      </c>
      <c r="W35" s="129" t="str">
        <f>IF(ABS(V35)&gt;0.1,"Does not equal figure in Table 1","OK")</f>
        <v>OK</v>
      </c>
      <c r="X35" s="706"/>
      <c r="Y35" s="127" t="str">
        <f>IF(AN35=1,Only_intake_recorded,"OK")</f>
        <v>OK</v>
      </c>
      <c r="Z35" s="90" t="str">
        <f>IF(OR(AO35=1,AP35=1),Intake_inconsistent,"OK")</f>
        <v>OK</v>
      </c>
      <c r="AA35" s="856">
        <f>'Table 1 (Main)'!$S$30</f>
        <v>40</v>
      </c>
      <c r="AB35" s="857">
        <f>L35-AA35</f>
        <v>0</v>
      </c>
      <c r="AC35" s="129" t="str">
        <f>IF(ABS(AB35)&gt;0.1,"Does not equal figure in Table 1","OK")</f>
        <v>OK</v>
      </c>
      <c r="AD35" s="706"/>
      <c r="AE35" s="706"/>
      <c r="AH35" s="1417">
        <f>IF(AND($C35=0,$F35&gt;0),1,0)</f>
        <v>0</v>
      </c>
      <c r="AI35" s="1417">
        <f>IF(AND($C35&gt;0,$F35=0),1,0)</f>
        <v>0</v>
      </c>
      <c r="AJ35" s="1417">
        <f>IF($C35&gt;$F35,1,0)</f>
        <v>0</v>
      </c>
      <c r="AK35" s="1417">
        <f>IF(AND($C35&gt;0,$C35=$F35),1,0)</f>
        <v>1</v>
      </c>
      <c r="AL35" s="1427"/>
      <c r="AM35" s="1417"/>
      <c r="AN35" s="1417">
        <f>IF(AND($G35&gt;0,$L35=0),1,0)</f>
        <v>0</v>
      </c>
      <c r="AO35" s="1417">
        <f>IF($G35&gt;$L35,1,0)</f>
        <v>0</v>
      </c>
      <c r="AP35" s="1417">
        <f>IF(AND($G35&gt;0,$G35=$L35),1,0)</f>
        <v>0</v>
      </c>
    </row>
    <row r="36" spans="1:42" ht="30" customHeight="1">
      <c r="A36" s="1060"/>
      <c r="B36" s="797" t="s">
        <v>267</v>
      </c>
      <c r="C36" s="801">
        <f>SUM(C34:C35)</f>
        <v>67</v>
      </c>
      <c r="D36" s="773">
        <f>SUM(D34:D35)</f>
        <v>0</v>
      </c>
      <c r="E36" s="751">
        <f t="shared" ref="E36" si="17">SUM(E34:E35)</f>
        <v>67</v>
      </c>
      <c r="F36" s="753">
        <f>SUM(F34:F35)</f>
        <v>67</v>
      </c>
      <c r="G36" s="784">
        <f>SUM(G34:G35)</f>
        <v>0</v>
      </c>
      <c r="H36" s="773">
        <f>SUM(H34:H35)</f>
        <v>66</v>
      </c>
      <c r="I36" s="751">
        <f t="shared" ref="I36" si="18">SUM(I34:I35)</f>
        <v>82</v>
      </c>
      <c r="J36" s="751">
        <f t="shared" ref="J36" si="19">SUM(J34:J35)</f>
        <v>81</v>
      </c>
      <c r="K36" s="751">
        <f t="shared" ref="K36" si="20">SUM(K34:K35)</f>
        <v>91</v>
      </c>
      <c r="L36" s="753">
        <f>SUM(L34:L35)</f>
        <v>320</v>
      </c>
      <c r="M36" s="808">
        <f>SUM(M34:M35)</f>
        <v>387</v>
      </c>
      <c r="N36" s="805">
        <f>SUM(N34:N35)</f>
        <v>0</v>
      </c>
      <c r="O36" s="713"/>
      <c r="P36" s="713"/>
      <c r="Q36" s="712"/>
      <c r="R36" s="709"/>
      <c r="S36" s="89"/>
      <c r="T36" s="861"/>
      <c r="U36" s="844"/>
      <c r="V36" s="845"/>
      <c r="W36" s="121"/>
      <c r="X36" s="706"/>
      <c r="Y36" s="89"/>
      <c r="Z36" s="861"/>
      <c r="AA36" s="844"/>
      <c r="AB36" s="845"/>
      <c r="AC36" s="121"/>
      <c r="AD36" s="706"/>
      <c r="AE36" s="706"/>
      <c r="AH36" s="1417"/>
      <c r="AI36" s="1417"/>
      <c r="AJ36" s="1417"/>
      <c r="AK36" s="1417"/>
      <c r="AL36" s="1427"/>
      <c r="AM36" s="1417"/>
      <c r="AN36" s="1417"/>
      <c r="AO36" s="1417"/>
      <c r="AP36" s="1417"/>
    </row>
    <row r="37" spans="1:42" ht="35.1" customHeight="1" thickBot="1">
      <c r="A37" s="1060"/>
      <c r="B37" s="798" t="s">
        <v>198</v>
      </c>
      <c r="C37" s="835">
        <v>11</v>
      </c>
      <c r="D37" s="823"/>
      <c r="E37" s="824">
        <v>11</v>
      </c>
      <c r="F37" s="754">
        <f>SUM(D37:E37)</f>
        <v>11</v>
      </c>
      <c r="G37" s="811"/>
      <c r="H37" s="812">
        <v>6</v>
      </c>
      <c r="I37" s="813">
        <v>10</v>
      </c>
      <c r="J37" s="813">
        <v>3</v>
      </c>
      <c r="K37" s="813">
        <v>5</v>
      </c>
      <c r="L37" s="754">
        <f t="shared" si="15"/>
        <v>24</v>
      </c>
      <c r="M37" s="807">
        <f t="shared" si="16"/>
        <v>35</v>
      </c>
      <c r="N37" s="840"/>
      <c r="O37" s="713"/>
      <c r="P37" s="713"/>
      <c r="Q37" s="712"/>
      <c r="R37" s="709"/>
      <c r="S37" s="140" t="str">
        <f>IF(AH37=1,Intake_missing,IF(AI37=1,Only_intake_recorded,"OK"))</f>
        <v>OK</v>
      </c>
      <c r="T37" s="726" t="str">
        <f>IF(OR(AJ37=1,AK37=1),Intake_inconsistent,"OK")</f>
        <v>Intake inconsistent with enrolments?</v>
      </c>
      <c r="U37" s="850"/>
      <c r="V37" s="851"/>
      <c r="W37" s="852"/>
      <c r="X37" s="706"/>
      <c r="Y37" s="140" t="str">
        <f>IF(AN37=1,Only_intake_recorded,"OK")</f>
        <v>OK</v>
      </c>
      <c r="Z37" s="726" t="str">
        <f>IF(OR(AO37=1,AP37=1),Intake_inconsistent,"OK")</f>
        <v>OK</v>
      </c>
      <c r="AA37" s="850"/>
      <c r="AB37" s="851"/>
      <c r="AC37" s="852"/>
      <c r="AD37" s="706"/>
      <c r="AE37" s="706"/>
      <c r="AH37" s="1417">
        <f>IF(AND($C37=0,$F37&gt;0),1,0)</f>
        <v>0</v>
      </c>
      <c r="AI37" s="1417">
        <f>IF(AND($C37&gt;0,$F37=0),1,0)</f>
        <v>0</v>
      </c>
      <c r="AJ37" s="1417">
        <f>IF($C37&gt;$F37,1,0)</f>
        <v>0</v>
      </c>
      <c r="AK37" s="1417">
        <f>IF(AND($C37&gt;0,$C37=$F37),1,0)</f>
        <v>1</v>
      </c>
      <c r="AL37" s="1427"/>
      <c r="AM37" s="1417"/>
      <c r="AN37" s="1417">
        <f>IF(AND($G37&gt;0,$L37=0),1,0)</f>
        <v>0</v>
      </c>
      <c r="AO37" s="1417">
        <f>IF($G37&gt;$L37,1,0)</f>
        <v>0</v>
      </c>
      <c r="AP37" s="1417">
        <f>IF(AND($G37&gt;0,$G37=$L37),1,0)</f>
        <v>0</v>
      </c>
    </row>
    <row r="38" spans="1:42" ht="35.1" customHeight="1" thickBot="1">
      <c r="A38" s="1060"/>
      <c r="B38" s="728" t="s">
        <v>2</v>
      </c>
      <c r="C38" s="836">
        <f>SUM(C36:C37)</f>
        <v>78</v>
      </c>
      <c r="D38" s="817">
        <f t="shared" ref="D38:M38" si="21">SUM(D36:D37)</f>
        <v>0</v>
      </c>
      <c r="E38" s="818">
        <f t="shared" si="21"/>
        <v>78</v>
      </c>
      <c r="F38" s="821">
        <f>SUM(F36:F37)</f>
        <v>78</v>
      </c>
      <c r="G38" s="810">
        <f t="shared" si="21"/>
        <v>0</v>
      </c>
      <c r="H38" s="817">
        <f t="shared" si="21"/>
        <v>72</v>
      </c>
      <c r="I38" s="818">
        <f t="shared" si="21"/>
        <v>92</v>
      </c>
      <c r="J38" s="818">
        <f t="shared" si="21"/>
        <v>84</v>
      </c>
      <c r="K38" s="818">
        <f t="shared" si="21"/>
        <v>96</v>
      </c>
      <c r="L38" s="821">
        <f t="shared" si="21"/>
        <v>344</v>
      </c>
      <c r="M38" s="809">
        <f t="shared" si="21"/>
        <v>422</v>
      </c>
      <c r="N38" s="837">
        <f>SUM(N36:N37)</f>
        <v>0</v>
      </c>
      <c r="O38" s="713"/>
      <c r="P38" s="715"/>
      <c r="Q38" s="712"/>
      <c r="R38" s="709"/>
      <c r="S38" s="732"/>
      <c r="T38" s="732"/>
      <c r="U38" s="732"/>
      <c r="V38" s="733"/>
      <c r="W38" s="734"/>
      <c r="X38" s="706"/>
      <c r="Y38" s="706"/>
      <c r="Z38" s="706"/>
      <c r="AA38" s="706"/>
      <c r="AB38" s="706"/>
      <c r="AC38" s="706"/>
      <c r="AD38" s="706"/>
      <c r="AE38" s="706"/>
      <c r="AH38" s="1417"/>
      <c r="AI38" s="1417"/>
      <c r="AJ38" s="1416"/>
      <c r="AK38" s="1429"/>
      <c r="AL38" s="1427"/>
    </row>
    <row r="39" spans="1:42" s="1430" customFormat="1" ht="30" customHeight="1">
      <c r="A39" s="1061"/>
      <c r="B39" s="735" t="s">
        <v>211</v>
      </c>
      <c r="C39" s="735"/>
      <c r="D39" s="735"/>
      <c r="E39" s="735"/>
      <c r="F39" s="735"/>
      <c r="G39" s="735"/>
      <c r="H39" s="735"/>
      <c r="I39" s="735"/>
      <c r="J39" s="735"/>
      <c r="K39" s="735"/>
      <c r="L39" s="735"/>
      <c r="M39" s="735"/>
      <c r="N39" s="735"/>
      <c r="O39" s="735"/>
      <c r="P39" s="735"/>
      <c r="Q39" s="736"/>
      <c r="R39" s="737"/>
      <c r="S39" s="738"/>
      <c r="T39" s="738"/>
      <c r="U39" s="738"/>
      <c r="V39" s="738"/>
      <c r="W39" s="738"/>
      <c r="X39" s="738"/>
      <c r="Y39" s="738"/>
      <c r="Z39" s="738"/>
      <c r="AA39" s="738"/>
      <c r="AB39" s="738"/>
      <c r="AC39" s="738"/>
      <c r="AD39" s="738"/>
      <c r="AE39" s="738"/>
    </row>
    <row r="40" spans="1:42" s="1430" customFormat="1" ht="15" customHeight="1">
      <c r="A40" s="1063"/>
      <c r="B40" s="208"/>
      <c r="C40" s="208"/>
      <c r="D40" s="739"/>
      <c r="E40" s="739"/>
      <c r="F40" s="739"/>
      <c r="G40" s="739"/>
      <c r="H40" s="739"/>
      <c r="I40" s="739"/>
      <c r="J40" s="739"/>
      <c r="K40" s="739"/>
      <c r="L40" s="739"/>
      <c r="M40" s="739"/>
      <c r="N40" s="739"/>
      <c r="O40" s="739"/>
      <c r="P40" s="739"/>
      <c r="Q40" s="740"/>
      <c r="R40" s="737"/>
      <c r="S40" s="738"/>
      <c r="T40" s="738"/>
      <c r="U40" s="738"/>
      <c r="V40" s="741"/>
      <c r="W40" s="741"/>
      <c r="X40" s="738"/>
      <c r="Y40" s="738"/>
      <c r="Z40" s="738"/>
      <c r="AA40" s="738"/>
      <c r="AB40" s="738"/>
      <c r="AC40" s="738"/>
      <c r="AD40" s="738"/>
      <c r="AE40" s="738"/>
    </row>
    <row r="41" spans="1:42" ht="12.75" customHeight="1">
      <c r="C41" s="1420"/>
      <c r="D41" s="1418"/>
      <c r="E41" s="1418"/>
      <c r="F41" s="1418"/>
      <c r="G41" s="1418"/>
      <c r="H41" s="1418"/>
      <c r="I41" s="1418"/>
      <c r="J41" s="1418"/>
      <c r="K41" s="1418"/>
      <c r="L41" s="1418"/>
      <c r="M41" s="1418"/>
      <c r="N41" s="1418"/>
      <c r="O41" s="1418"/>
      <c r="P41" s="1418"/>
      <c r="Q41" s="1418"/>
      <c r="R41" s="1418"/>
      <c r="S41" s="1418"/>
      <c r="T41" s="1418"/>
      <c r="U41" s="1418"/>
    </row>
  </sheetData>
  <sheetProtection password="E23E" sheet="1" objects="1" scenarios="1"/>
  <mergeCells count="41">
    <mergeCell ref="AA30:AC30"/>
    <mergeCell ref="V31:V32"/>
    <mergeCell ref="AB31:AB32"/>
    <mergeCell ref="AH10:AK10"/>
    <mergeCell ref="AH11:AH13"/>
    <mergeCell ref="AI11:AI13"/>
    <mergeCell ref="AJ11:AJ13"/>
    <mergeCell ref="AK11:AK13"/>
    <mergeCell ref="S29:W29"/>
    <mergeCell ref="Y29:AC29"/>
    <mergeCell ref="S30:S31"/>
    <mergeCell ref="T30:T31"/>
    <mergeCell ref="U30:W30"/>
    <mergeCell ref="Y30:Y31"/>
    <mergeCell ref="Z30:Z31"/>
    <mergeCell ref="V13:V14"/>
    <mergeCell ref="AM10:AP10"/>
    <mergeCell ref="AM11:AM13"/>
    <mergeCell ref="AN11:AN13"/>
    <mergeCell ref="AO11:AO13"/>
    <mergeCell ref="AP11:AP13"/>
    <mergeCell ref="U12:W12"/>
    <mergeCell ref="S11:W11"/>
    <mergeCell ref="S12:S13"/>
    <mergeCell ref="T12:T13"/>
    <mergeCell ref="Y11:AC11"/>
    <mergeCell ref="Y12:Y13"/>
    <mergeCell ref="Z12:Z13"/>
    <mergeCell ref="AA12:AC12"/>
    <mergeCell ref="AB13:AB14"/>
    <mergeCell ref="C4:E4"/>
    <mergeCell ref="P9:P11"/>
    <mergeCell ref="C9:O9"/>
    <mergeCell ref="C10:I10"/>
    <mergeCell ref="J10:N10"/>
    <mergeCell ref="B8:P8"/>
    <mergeCell ref="G28:L28"/>
    <mergeCell ref="N27:N29"/>
    <mergeCell ref="C27:M27"/>
    <mergeCell ref="B26:N26"/>
    <mergeCell ref="C28:F28"/>
  </mergeCells>
  <conditionalFormatting sqref="G34:K35 G37:K37">
    <cfRule type="expression" dxfId="96" priority="43">
      <formula>$F$4=4</formula>
    </cfRule>
    <cfRule type="expression" dxfId="95" priority="44">
      <formula>$F$4=3</formula>
    </cfRule>
    <cfRule type="expression" dxfId="94" priority="60" stopIfTrue="1">
      <formula>$F$4=0</formula>
    </cfRule>
  </conditionalFormatting>
  <conditionalFormatting sqref="C20:F22 C16:F17 C18:D18 P20:P22">
    <cfRule type="expression" dxfId="93" priority="53" stopIfTrue="1">
      <formula>$F$4=0</formula>
    </cfRule>
  </conditionalFormatting>
  <conditionalFormatting sqref="P16:P17">
    <cfRule type="expression" dxfId="92" priority="52" stopIfTrue="1">
      <formula>$F$4=0</formula>
    </cfRule>
  </conditionalFormatting>
  <conditionalFormatting sqref="B2">
    <cfRule type="expression" dxfId="91" priority="51" stopIfTrue="1">
      <formula>#REF!=0</formula>
    </cfRule>
  </conditionalFormatting>
  <conditionalFormatting sqref="A1:AE1">
    <cfRule type="expression" dxfId="90" priority="86" stopIfTrue="1">
      <formula>$F$4=0</formula>
    </cfRule>
  </conditionalFormatting>
  <conditionalFormatting sqref="P34:P37 C37:E37">
    <cfRule type="expression" dxfId="89" priority="49">
      <formula>$F$4&lt;&gt;1</formula>
    </cfRule>
  </conditionalFormatting>
  <conditionalFormatting sqref="G16:H17 G20:H22">
    <cfRule type="expression" dxfId="88" priority="48">
      <formula>$F$4&lt;&gt;4</formula>
    </cfRule>
  </conditionalFormatting>
  <conditionalFormatting sqref="J16:M17 J20:M22">
    <cfRule type="expression" dxfId="87" priority="46">
      <formula>$F$4=4</formula>
    </cfRule>
    <cfRule type="expression" dxfId="86" priority="47">
      <formula>$F$4=0</formula>
    </cfRule>
  </conditionalFormatting>
  <conditionalFormatting sqref="N34:N35 N37">
    <cfRule type="expression" dxfId="85" priority="40">
      <formula>$F$4=4</formula>
    </cfRule>
    <cfRule type="expression" dxfId="84" priority="41">
      <formula>$F$4=3</formula>
    </cfRule>
    <cfRule type="expression" dxfId="83" priority="45">
      <formula>$F$4=0</formula>
    </cfRule>
  </conditionalFormatting>
  <conditionalFormatting sqref="C34:E35">
    <cfRule type="expression" dxfId="82" priority="42">
      <formula>$F$4&lt;&gt;1</formula>
    </cfRule>
  </conditionalFormatting>
  <conditionalFormatting sqref="S16:W18 S34:W36 AB36:AC36 Y36:AA37 Y34:Z35 AC34:AC35 AC16:AC17 Y16:Z17">
    <cfRule type="expression" dxfId="81" priority="39" stopIfTrue="1">
      <formula>$F$4=0</formula>
    </cfRule>
  </conditionalFormatting>
  <conditionalFormatting sqref="S17:V18">
    <cfRule type="expression" dxfId="80" priority="37" stopIfTrue="1">
      <formula>$F$4=0</formula>
    </cfRule>
  </conditionalFormatting>
  <conditionalFormatting sqref="S20:U22">
    <cfRule type="expression" dxfId="79" priority="36" stopIfTrue="1">
      <formula>$F$4=0</formula>
    </cfRule>
  </conditionalFormatting>
  <conditionalFormatting sqref="S35:V36">
    <cfRule type="expression" dxfId="78" priority="35" stopIfTrue="1">
      <formula>$F$4=0</formula>
    </cfRule>
  </conditionalFormatting>
  <conditionalFormatting sqref="S37:U37">
    <cfRule type="expression" dxfId="77" priority="34" stopIfTrue="1">
      <formula>$F$4=0</formula>
    </cfRule>
  </conditionalFormatting>
  <conditionalFormatting sqref="Y18:AC18">
    <cfRule type="expression" dxfId="76" priority="33" stopIfTrue="1">
      <formula>$F$4=0</formula>
    </cfRule>
  </conditionalFormatting>
  <conditionalFormatting sqref="Y18:AA18">
    <cfRule type="expression" dxfId="75" priority="32" stopIfTrue="1">
      <formula>$F$4=0</formula>
    </cfRule>
  </conditionalFormatting>
  <conditionalFormatting sqref="AB18">
    <cfRule type="expression" dxfId="74" priority="30" stopIfTrue="1">
      <formula>$F$4=0</formula>
    </cfRule>
  </conditionalFormatting>
  <conditionalFormatting sqref="Y20:AA22">
    <cfRule type="expression" dxfId="73" priority="29" stopIfTrue="1">
      <formula>$F$4=0</formula>
    </cfRule>
  </conditionalFormatting>
  <conditionalFormatting sqref="AB36">
    <cfRule type="expression" dxfId="72" priority="27" stopIfTrue="1">
      <formula>$F$4=0</formula>
    </cfRule>
  </conditionalFormatting>
  <conditionalFormatting sqref="E18:I18">
    <cfRule type="expression" dxfId="71" priority="26" stopIfTrue="1">
      <formula>$F$4=0</formula>
    </cfRule>
  </conditionalFormatting>
  <conditionalFormatting sqref="J18:O18">
    <cfRule type="expression" dxfId="70" priority="25" stopIfTrue="1">
      <formula>$F$4=0</formula>
    </cfRule>
  </conditionalFormatting>
  <conditionalFormatting sqref="P18">
    <cfRule type="expression" dxfId="69" priority="24" stopIfTrue="1">
      <formula>$F$4=0</formula>
    </cfRule>
  </conditionalFormatting>
  <conditionalFormatting sqref="C36">
    <cfRule type="expression" dxfId="68" priority="23" stopIfTrue="1">
      <formula>$F$4=0</formula>
    </cfRule>
  </conditionalFormatting>
  <conditionalFormatting sqref="D36">
    <cfRule type="expression" dxfId="67" priority="22" stopIfTrue="1">
      <formula>$F$4=0</formula>
    </cfRule>
  </conditionalFormatting>
  <conditionalFormatting sqref="E36:F36">
    <cfRule type="expression" dxfId="66" priority="21" stopIfTrue="1">
      <formula>$F$4=0</formula>
    </cfRule>
  </conditionalFormatting>
  <conditionalFormatting sqref="G36">
    <cfRule type="expression" dxfId="65" priority="20" stopIfTrue="1">
      <formula>$F$4=0</formula>
    </cfRule>
  </conditionalFormatting>
  <conditionalFormatting sqref="H36">
    <cfRule type="expression" dxfId="64" priority="19" stopIfTrue="1">
      <formula>$F$4=0</formula>
    </cfRule>
  </conditionalFormatting>
  <conditionalFormatting sqref="I36">
    <cfRule type="expression" dxfId="63" priority="18" stopIfTrue="1">
      <formula>$F$4=0</formula>
    </cfRule>
  </conditionalFormatting>
  <conditionalFormatting sqref="J36:K36">
    <cfRule type="expression" dxfId="62" priority="17" stopIfTrue="1">
      <formula>$F$4=0</formula>
    </cfRule>
  </conditionalFormatting>
  <conditionalFormatting sqref="L36">
    <cfRule type="expression" dxfId="61" priority="16" stopIfTrue="1">
      <formula>$F$4=0</formula>
    </cfRule>
  </conditionalFormatting>
  <conditionalFormatting sqref="M36">
    <cfRule type="expression" dxfId="60" priority="15" stopIfTrue="1">
      <formula>$F$4=0</formula>
    </cfRule>
  </conditionalFormatting>
  <conditionalFormatting sqref="N36">
    <cfRule type="expression" dxfId="59" priority="14" stopIfTrue="1">
      <formula>$F$4=0</formula>
    </cfRule>
  </conditionalFormatting>
  <conditionalFormatting sqref="U35:V35">
    <cfRule type="expression" dxfId="58" priority="13" stopIfTrue="1">
      <formula>$F$4=0</formula>
    </cfRule>
  </conditionalFormatting>
  <conditionalFormatting sqref="AB34:AB35">
    <cfRule type="expression" dxfId="57" priority="12" stopIfTrue="1">
      <formula>$F$4=0</formula>
    </cfRule>
  </conditionalFormatting>
  <conditionalFormatting sqref="AB35">
    <cfRule type="expression" dxfId="56" priority="11" stopIfTrue="1">
      <formula>$F$4=0</formula>
    </cfRule>
  </conditionalFormatting>
  <conditionalFormatting sqref="AB35">
    <cfRule type="expression" dxfId="55" priority="10" stopIfTrue="1">
      <formula>$F$4=0</formula>
    </cfRule>
  </conditionalFormatting>
  <conditionalFormatting sqref="AB16:AB17">
    <cfRule type="expression" dxfId="54" priority="9" stopIfTrue="1">
      <formula>$F$4=0</formula>
    </cfRule>
  </conditionalFormatting>
  <conditionalFormatting sqref="AB17">
    <cfRule type="expression" dxfId="53" priority="8" stopIfTrue="1">
      <formula>$F$4=0</formula>
    </cfRule>
  </conditionalFormatting>
  <conditionalFormatting sqref="AA16:AA17">
    <cfRule type="expression" dxfId="52" priority="7" stopIfTrue="1">
      <formula>$F$4=0</formula>
    </cfRule>
  </conditionalFormatting>
  <conditionalFormatting sqref="AA17">
    <cfRule type="expression" dxfId="51" priority="6" stopIfTrue="1">
      <formula>$F$4=0</formula>
    </cfRule>
  </conditionalFormatting>
  <conditionalFormatting sqref="U35">
    <cfRule type="expression" dxfId="50" priority="5" stopIfTrue="1">
      <formula>$F$4=0</formula>
    </cfRule>
  </conditionalFormatting>
  <conditionalFormatting sqref="AA34:AA35">
    <cfRule type="expression" dxfId="49" priority="4" stopIfTrue="1">
      <formula>$F$4=0</formula>
    </cfRule>
  </conditionalFormatting>
  <conditionalFormatting sqref="AA35">
    <cfRule type="expression" dxfId="48" priority="3" stopIfTrue="1">
      <formula>$F$4=0</formula>
    </cfRule>
  </conditionalFormatting>
  <conditionalFormatting sqref="AA35">
    <cfRule type="expression" dxfId="47" priority="2" stopIfTrue="1">
      <formula>$F$4=0</formula>
    </cfRule>
  </conditionalFormatting>
  <conditionalFormatting sqref="AA35">
    <cfRule type="expression" dxfId="46" priority="1" stopIfTrue="1">
      <formula>$F$4=0</formula>
    </cfRule>
  </conditionalFormatting>
  <dataValidations count="1">
    <dataValidation type="custom" allowBlank="1" showErrorMessage="1" errorTitle="Number less than 0" error="You are trying to enter a number which is less than 0, please re-enter a valid number." sqref="D25:P25 C34:C38 C16:C25 O18:P18 F24:P24 N18:N19 D38:M38 D16:H22 I18:I19 J16:L17 J19:L22 J18:M18 D23:E24 F23:N23 D34:E35 D37:E37 D36:N36">
      <formula1>C16&gt;=0</formula1>
    </dataValidation>
  </dataValidations>
  <printOptions horizontalCentered="1" verticalCentered="1" gridLines="1" gridLinesSet="0"/>
  <pageMargins left="0.19685039370078741" right="0.19685039370078741" top="0.15748031496062992" bottom="0.15748031496062992" header="0.23622047244094491" footer="0.27559055118110237"/>
  <pageSetup paperSize="9" scale="4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7"/>
  <sheetViews>
    <sheetView zoomScale="75" workbookViewId="0"/>
  </sheetViews>
  <sheetFormatPr defaultColWidth="9.140625" defaultRowHeight="15"/>
  <cols>
    <col min="1" max="1" width="2.7109375" style="1405" customWidth="1"/>
    <col min="2" max="2" width="28.7109375" style="1405" customWidth="1"/>
    <col min="3" max="3" width="14.28515625" style="1405" customWidth="1"/>
    <col min="4" max="6" width="12.7109375" style="1405" customWidth="1"/>
    <col min="7" max="7" width="13.7109375" style="1405" customWidth="1"/>
    <col min="8" max="9" width="4.7109375" style="1405" customWidth="1"/>
    <col min="10" max="10" width="27.42578125" style="1405" customWidth="1"/>
    <col min="11" max="11" width="32.7109375" style="1405" customWidth="1"/>
    <col min="12" max="12" width="4.7109375" style="1405" customWidth="1"/>
    <col min="13" max="14" width="12.7109375" style="1405" customWidth="1"/>
    <col min="15" max="15" width="32.7109375" style="1405" customWidth="1"/>
    <col min="16" max="16" width="10.7109375" style="1405" customWidth="1"/>
    <col min="17" max="17" width="9.140625" style="1431"/>
    <col min="18" max="21" width="12.7109375" style="1405" hidden="1" customWidth="1"/>
    <col min="22" max="16384" width="9.140625" style="1405"/>
  </cols>
  <sheetData>
    <row r="1" spans="1:22" ht="39.950000000000003" customHeight="1">
      <c r="A1" s="534"/>
      <c r="B1" s="579" t="str">
        <f>IF(F4=0,"Your Institution Does Not Complete This Table","")</f>
        <v>Your Institution Does Not Complete This Table</v>
      </c>
      <c r="C1" s="534"/>
      <c r="D1" s="534"/>
      <c r="E1" s="534"/>
      <c r="F1" s="534"/>
      <c r="G1" s="534"/>
      <c r="H1" s="534"/>
      <c r="I1" s="534"/>
      <c r="J1" s="534"/>
      <c r="K1" s="534"/>
      <c r="L1" s="534"/>
      <c r="M1" s="534"/>
      <c r="N1" s="534"/>
      <c r="O1" s="534"/>
      <c r="P1" s="534"/>
    </row>
    <row r="2" spans="1:22" ht="30" customHeight="1">
      <c r="A2" s="1020"/>
      <c r="B2" s="865" t="s">
        <v>367</v>
      </c>
      <c r="C2" s="220"/>
      <c r="D2" s="220"/>
      <c r="E2" s="220"/>
      <c r="F2" s="220"/>
      <c r="G2" s="221"/>
      <c r="H2" s="222"/>
      <c r="I2" s="543"/>
      <c r="J2" s="48"/>
      <c r="K2" s="48"/>
      <c r="L2" s="543"/>
      <c r="M2" s="543"/>
      <c r="N2" s="543"/>
      <c r="O2" s="543"/>
      <c r="P2" s="543"/>
      <c r="R2" s="1720" t="s">
        <v>252</v>
      </c>
      <c r="S2" s="1720" t="s">
        <v>253</v>
      </c>
      <c r="T2" s="1720" t="s">
        <v>242</v>
      </c>
      <c r="U2" s="1720" t="s">
        <v>254</v>
      </c>
      <c r="V2" s="1422"/>
    </row>
    <row r="3" spans="1:22" ht="15" customHeight="1">
      <c r="A3" s="882"/>
      <c r="B3" s="187"/>
      <c r="C3" s="223"/>
      <c r="D3" s="224"/>
      <c r="E3" s="224"/>
      <c r="F3" s="224"/>
      <c r="G3" s="224"/>
      <c r="H3" s="225"/>
      <c r="I3" s="224"/>
      <c r="J3" s="48"/>
      <c r="K3" s="48"/>
      <c r="L3" s="224"/>
      <c r="M3" s="224"/>
      <c r="N3" s="224"/>
      <c r="O3" s="224"/>
      <c r="P3" s="224"/>
      <c r="R3" s="1720"/>
      <c r="S3" s="1720"/>
      <c r="T3" s="1720"/>
      <c r="U3" s="1720"/>
      <c r="V3" s="1432"/>
    </row>
    <row r="4" spans="1:22" ht="35.1" customHeight="1">
      <c r="A4" s="882"/>
      <c r="B4" s="1059" t="s">
        <v>0</v>
      </c>
      <c r="C4" s="1774" t="str">
        <f>Background!$D$2</f>
        <v>Glasgow, University of</v>
      </c>
      <c r="D4" s="1775"/>
      <c r="E4" s="1776"/>
      <c r="F4" s="536">
        <f>VLOOKUP(Background!$C$2,Inst_Tables,8,FALSE)</f>
        <v>0</v>
      </c>
      <c r="G4" s="226"/>
      <c r="H4" s="227"/>
      <c r="I4" s="226"/>
      <c r="J4" s="48"/>
      <c r="K4" s="48"/>
      <c r="L4" s="226"/>
      <c r="M4" s="226"/>
      <c r="N4" s="226"/>
      <c r="O4" s="226"/>
      <c r="P4" s="226"/>
      <c r="R4" s="1720"/>
      <c r="S4" s="1720"/>
      <c r="T4" s="1720"/>
      <c r="U4" s="1720"/>
    </row>
    <row r="5" spans="1:22" ht="35.1" customHeight="1">
      <c r="A5" s="882"/>
      <c r="B5" s="1067" t="s">
        <v>427</v>
      </c>
      <c r="C5" s="228"/>
      <c r="D5" s="228"/>
      <c r="E5" s="228"/>
      <c r="F5" s="228"/>
      <c r="G5" s="228"/>
      <c r="H5" s="229"/>
      <c r="I5" s="228"/>
      <c r="J5" s="48"/>
      <c r="K5" s="48"/>
      <c r="L5" s="228"/>
      <c r="M5" s="228"/>
      <c r="N5" s="228"/>
      <c r="O5" s="228"/>
      <c r="P5" s="228"/>
      <c r="R5" s="1720"/>
      <c r="S5" s="1720"/>
      <c r="T5" s="1720"/>
      <c r="U5" s="1720"/>
    </row>
    <row r="6" spans="1:22" ht="30" customHeight="1">
      <c r="A6" s="882"/>
      <c r="B6" s="55" t="s">
        <v>434</v>
      </c>
      <c r="C6" s="228"/>
      <c r="D6" s="228"/>
      <c r="E6" s="228"/>
      <c r="F6" s="228"/>
      <c r="G6" s="228"/>
      <c r="H6" s="229"/>
      <c r="I6" s="228"/>
      <c r="J6" s="48"/>
      <c r="K6" s="48"/>
      <c r="L6" s="228"/>
      <c r="M6" s="228"/>
      <c r="N6" s="228"/>
      <c r="O6" s="228"/>
      <c r="P6" s="228"/>
      <c r="R6" s="1720"/>
      <c r="S6" s="1720"/>
      <c r="T6" s="1720"/>
      <c r="U6" s="1720"/>
    </row>
    <row r="7" spans="1:22" ht="15" customHeight="1" thickBot="1">
      <c r="A7" s="882"/>
      <c r="B7" s="1068"/>
      <c r="C7" s="228"/>
      <c r="D7" s="228"/>
      <c r="E7" s="228"/>
      <c r="F7" s="228"/>
      <c r="G7" s="228"/>
      <c r="H7" s="229"/>
      <c r="I7" s="228"/>
      <c r="J7" s="48"/>
      <c r="K7" s="48"/>
      <c r="L7" s="228"/>
      <c r="M7" s="228"/>
      <c r="N7" s="228"/>
      <c r="O7" s="228"/>
      <c r="P7" s="228"/>
      <c r="R7" s="1720"/>
      <c r="S7" s="1720"/>
      <c r="T7" s="1720"/>
      <c r="U7" s="1720"/>
    </row>
    <row r="8" spans="1:22" ht="39.950000000000003" customHeight="1">
      <c r="A8" s="882"/>
      <c r="B8" s="1268"/>
      <c r="C8" s="1777" t="s">
        <v>132</v>
      </c>
      <c r="D8" s="1743" t="s">
        <v>28</v>
      </c>
      <c r="E8" s="1743"/>
      <c r="F8" s="1743"/>
      <c r="G8" s="1744"/>
      <c r="H8" s="229"/>
      <c r="I8" s="228"/>
      <c r="J8" s="48"/>
      <c r="K8" s="48"/>
      <c r="L8" s="228"/>
      <c r="M8" s="228"/>
      <c r="N8" s="228"/>
      <c r="O8" s="228"/>
      <c r="P8" s="228"/>
      <c r="R8" s="1720"/>
      <c r="S8" s="1720"/>
      <c r="T8" s="1720"/>
      <c r="U8" s="1720"/>
    </row>
    <row r="9" spans="1:22" ht="32.25" customHeight="1">
      <c r="A9" s="882"/>
      <c r="B9" s="1269"/>
      <c r="C9" s="1778"/>
      <c r="D9" s="1272" t="s">
        <v>25</v>
      </c>
      <c r="E9" s="230" t="s">
        <v>14</v>
      </c>
      <c r="F9" s="230" t="s">
        <v>15</v>
      </c>
      <c r="G9" s="231" t="s">
        <v>2</v>
      </c>
      <c r="H9" s="229"/>
      <c r="I9" s="228"/>
      <c r="J9" s="48"/>
      <c r="K9" s="48"/>
      <c r="L9" s="228"/>
      <c r="M9" s="228"/>
      <c r="N9" s="228"/>
      <c r="O9" s="228"/>
      <c r="P9" s="228"/>
      <c r="R9" s="1418"/>
      <c r="S9" s="1418"/>
      <c r="T9" s="1418"/>
      <c r="U9" s="1433"/>
    </row>
    <row r="10" spans="1:22" ht="30" customHeight="1" thickBot="1">
      <c r="A10" s="882"/>
      <c r="B10" s="1241" t="s">
        <v>316</v>
      </c>
      <c r="C10" s="1275" t="s">
        <v>18</v>
      </c>
      <c r="D10" s="1273" t="s">
        <v>18</v>
      </c>
      <c r="E10" s="149" t="s">
        <v>18</v>
      </c>
      <c r="F10" s="149" t="s">
        <v>18</v>
      </c>
      <c r="G10" s="154" t="s">
        <v>18</v>
      </c>
      <c r="H10" s="232"/>
      <c r="I10" s="228"/>
      <c r="J10" s="235"/>
      <c r="K10" s="235"/>
      <c r="L10" s="228"/>
      <c r="M10" s="228"/>
      <c r="N10" s="228"/>
      <c r="O10" s="228"/>
      <c r="P10" s="228"/>
      <c r="R10" s="1416" t="s">
        <v>75</v>
      </c>
      <c r="S10" s="1416" t="s">
        <v>75</v>
      </c>
      <c r="T10" s="1416" t="s">
        <v>75</v>
      </c>
      <c r="U10" s="1416" t="s">
        <v>75</v>
      </c>
    </row>
    <row r="11" spans="1:22" ht="39.950000000000003" customHeight="1">
      <c r="A11" s="882"/>
      <c r="B11" s="1270"/>
      <c r="C11" s="1276" t="s">
        <v>31</v>
      </c>
      <c r="D11" s="1274" t="s">
        <v>31</v>
      </c>
      <c r="E11" s="520" t="s">
        <v>31</v>
      </c>
      <c r="F11" s="520" t="s">
        <v>31</v>
      </c>
      <c r="G11" s="528" t="s">
        <v>3</v>
      </c>
      <c r="H11" s="229"/>
      <c r="I11" s="228"/>
      <c r="J11" s="546" t="s">
        <v>226</v>
      </c>
      <c r="K11" s="547" t="s">
        <v>224</v>
      </c>
      <c r="L11" s="228"/>
      <c r="M11" s="228"/>
      <c r="N11" s="228"/>
      <c r="O11" s="228"/>
      <c r="P11" s="228"/>
    </row>
    <row r="12" spans="1:22" ht="24.95" customHeight="1" thickBot="1">
      <c r="A12" s="882"/>
      <c r="B12" s="1271"/>
      <c r="C12" s="1610">
        <v>1</v>
      </c>
      <c r="D12" s="1611">
        <v>2</v>
      </c>
      <c r="E12" s="1597">
        <v>3</v>
      </c>
      <c r="F12" s="1597">
        <v>4</v>
      </c>
      <c r="G12" s="1598">
        <v>5</v>
      </c>
      <c r="H12" s="232"/>
      <c r="I12" s="228"/>
      <c r="J12" s="548"/>
      <c r="K12" s="1177"/>
      <c r="L12" s="228"/>
      <c r="M12" s="228"/>
      <c r="N12" s="228"/>
      <c r="O12" s="228"/>
      <c r="P12" s="228"/>
    </row>
    <row r="13" spans="1:22" ht="35.1" customHeight="1">
      <c r="A13" s="882"/>
      <c r="B13" s="1241" t="s">
        <v>11</v>
      </c>
      <c r="C13" s="1255"/>
      <c r="D13" s="521"/>
      <c r="E13" s="520"/>
      <c r="F13" s="520"/>
      <c r="G13" s="522"/>
      <c r="H13" s="232"/>
      <c r="I13" s="228"/>
      <c r="J13" s="549"/>
      <c r="K13" s="550"/>
      <c r="L13" s="228"/>
      <c r="M13" s="228"/>
      <c r="N13" s="228"/>
      <c r="O13" s="228"/>
      <c r="P13" s="228"/>
    </row>
    <row r="14" spans="1:22" ht="30" customHeight="1">
      <c r="A14" s="882"/>
      <c r="B14" s="1242" t="s">
        <v>35</v>
      </c>
      <c r="C14" s="1256"/>
      <c r="D14" s="228"/>
      <c r="E14" s="233"/>
      <c r="F14" s="233"/>
      <c r="G14" s="234"/>
      <c r="H14" s="232"/>
      <c r="I14" s="228"/>
      <c r="J14" s="551"/>
      <c r="K14" s="552"/>
      <c r="L14" s="228"/>
      <c r="M14" s="228"/>
      <c r="N14" s="228"/>
      <c r="O14" s="228"/>
      <c r="P14" s="228"/>
    </row>
    <row r="15" spans="1:22" ht="24.95" customHeight="1">
      <c r="A15" s="882"/>
      <c r="B15" s="1243" t="s">
        <v>36</v>
      </c>
      <c r="C15" s="1257"/>
      <c r="D15" s="122"/>
      <c r="E15" s="82"/>
      <c r="F15" s="82"/>
      <c r="G15" s="524">
        <f>SUM(D15:F15)</f>
        <v>0</v>
      </c>
      <c r="H15" s="237"/>
      <c r="I15" s="544"/>
      <c r="J15" s="127" t="str">
        <f>IF(R15=1,Intake_missing,IF(S15=1,Only_intake_recorded,"OK"))</f>
        <v>OK</v>
      </c>
      <c r="K15" s="553" t="str">
        <f>IF(OR(T15=1,U15=1),Intake_inconsistent,"OK")</f>
        <v>OK</v>
      </c>
      <c r="L15" s="544"/>
      <c r="M15" s="544"/>
      <c r="N15" s="544"/>
      <c r="O15" s="544"/>
      <c r="P15" s="544"/>
      <c r="R15" s="1416">
        <f>IF(AND(C15=0,G15&gt;0),1,0)</f>
        <v>0</v>
      </c>
      <c r="S15" s="1416">
        <f>IF(AND(C15&gt;0,G15=0),1,0)</f>
        <v>0</v>
      </c>
      <c r="T15" s="1416">
        <f>IF(C15&gt;G15,1,0)</f>
        <v>0</v>
      </c>
      <c r="U15" s="1416">
        <f>IF(AND(SUM(E15:F15)&gt;0,C15=G15),1,0)</f>
        <v>0</v>
      </c>
    </row>
    <row r="16" spans="1:22" ht="24.95" customHeight="1">
      <c r="A16" s="882"/>
      <c r="B16" s="1243" t="s">
        <v>37</v>
      </c>
      <c r="C16" s="1258"/>
      <c r="D16" s="122"/>
      <c r="E16" s="82"/>
      <c r="F16" s="82"/>
      <c r="G16" s="524">
        <f>SUM(D16:F16)</f>
        <v>0</v>
      </c>
      <c r="H16" s="237"/>
      <c r="I16" s="544"/>
      <c r="J16" s="127" t="str">
        <f>IF(R16=1,Intake_missing,IF(S16=1,Only_intake_recorded,"OK"))</f>
        <v>OK</v>
      </c>
      <c r="K16" s="553" t="str">
        <f>IF(OR(T16=1,U16=1),Intake_inconsistent,"OK")</f>
        <v>OK</v>
      </c>
      <c r="L16" s="544"/>
      <c r="M16" s="544"/>
      <c r="N16" s="544"/>
      <c r="O16" s="544"/>
      <c r="P16" s="544"/>
      <c r="R16" s="1416"/>
      <c r="S16" s="1416"/>
      <c r="T16" s="1416"/>
    </row>
    <row r="17" spans="1:21" ht="24.95" customHeight="1">
      <c r="A17" s="882"/>
      <c r="B17" s="1243" t="s">
        <v>38</v>
      </c>
      <c r="C17" s="1259"/>
      <c r="D17" s="540"/>
      <c r="E17" s="240"/>
      <c r="F17" s="240"/>
      <c r="G17" s="525">
        <f>SUM(D17:F17)</f>
        <v>0</v>
      </c>
      <c r="H17" s="237"/>
      <c r="I17" s="544"/>
      <c r="J17" s="127" t="str">
        <f>IF(R17=1,Intake_missing,IF(S17=1,Only_intake_recorded,"OK"))</f>
        <v>OK</v>
      </c>
      <c r="K17" s="553" t="str">
        <f>IF(OR(T17=1,U17=1),Intake_inconsistent,"OK")</f>
        <v>OK</v>
      </c>
      <c r="L17" s="544"/>
      <c r="M17" s="544"/>
      <c r="N17" s="544"/>
      <c r="O17" s="544"/>
      <c r="P17" s="544"/>
      <c r="R17" s="1416">
        <f>IF(AND(C17=0,G17&gt;0),1,0)</f>
        <v>0</v>
      </c>
      <c r="S17" s="1416">
        <f>IF(AND(C17&gt;0,G17=0),1,0)</f>
        <v>0</v>
      </c>
      <c r="T17" s="1416">
        <f>IF(C17&gt;G17,1,0)</f>
        <v>0</v>
      </c>
      <c r="U17" s="1416">
        <f>IF(AND(SUM(E17:F17)&gt;0,C17=G17),1,0)</f>
        <v>0</v>
      </c>
    </row>
    <row r="18" spans="1:21" ht="24.95" customHeight="1">
      <c r="A18" s="882"/>
      <c r="B18" s="1244" t="s">
        <v>2</v>
      </c>
      <c r="C18" s="1260">
        <f>SUM(C15:C17)</f>
        <v>0</v>
      </c>
      <c r="D18" s="1250">
        <f>SUM(D15:D17)</f>
        <v>0</v>
      </c>
      <c r="E18" s="241">
        <f>SUM(E15:E17)</f>
        <v>0</v>
      </c>
      <c r="F18" s="241">
        <f>SUM(F15:F17)</f>
        <v>0</v>
      </c>
      <c r="G18" s="524">
        <f>SUM(D18:F18)</f>
        <v>0</v>
      </c>
      <c r="H18" s="237"/>
      <c r="I18" s="544"/>
      <c r="J18" s="555"/>
      <c r="K18" s="556"/>
      <c r="L18" s="544"/>
      <c r="M18" s="544"/>
      <c r="N18" s="544"/>
      <c r="O18" s="544"/>
      <c r="P18" s="544"/>
      <c r="R18" s="1416"/>
      <c r="S18" s="1416"/>
      <c r="T18" s="1416"/>
      <c r="U18" s="1416"/>
    </row>
    <row r="19" spans="1:21" ht="30" customHeight="1">
      <c r="A19" s="882"/>
      <c r="B19" s="1242" t="s">
        <v>39</v>
      </c>
      <c r="C19" s="1261"/>
      <c r="D19" s="239"/>
      <c r="E19" s="238"/>
      <c r="F19" s="238"/>
      <c r="G19" s="527"/>
      <c r="H19" s="237"/>
      <c r="I19" s="544"/>
      <c r="J19" s="557"/>
      <c r="K19" s="554"/>
      <c r="L19" s="544"/>
      <c r="M19" s="544"/>
      <c r="N19" s="544"/>
      <c r="O19" s="544"/>
      <c r="P19" s="544"/>
    </row>
    <row r="20" spans="1:21" ht="24.95" customHeight="1">
      <c r="A20" s="882"/>
      <c r="B20" s="1243" t="s">
        <v>36</v>
      </c>
      <c r="C20" s="1257"/>
      <c r="D20" s="122"/>
      <c r="E20" s="82"/>
      <c r="F20" s="82"/>
      <c r="G20" s="524">
        <f>SUM(D20:F20)</f>
        <v>0</v>
      </c>
      <c r="H20" s="237"/>
      <c r="I20" s="544"/>
      <c r="J20" s="127" t="str">
        <f>IF(R20=1,Intake_missing,IF(S20=1,Only_intake_recorded,"OK"))</f>
        <v>OK</v>
      </c>
      <c r="K20" s="553" t="str">
        <f>IF(OR(T20=1,U20=1),Intake_inconsistent,"OK")</f>
        <v>OK</v>
      </c>
      <c r="L20" s="544"/>
      <c r="M20" s="544"/>
      <c r="N20" s="544"/>
      <c r="O20" s="544"/>
      <c r="P20" s="544"/>
      <c r="R20" s="1416">
        <f>IF(AND(C20=0,G20&gt;0),1,0)</f>
        <v>0</v>
      </c>
      <c r="S20" s="1416">
        <f>IF(AND(C20&gt;0,G20=0),1,0)</f>
        <v>0</v>
      </c>
      <c r="T20" s="1416">
        <f>IF(C20&gt;G20,1,0)</f>
        <v>0</v>
      </c>
      <c r="U20" s="1416">
        <f>IF(AND(SUM(E20:F20)&gt;0,C20=G20),1,0)</f>
        <v>0</v>
      </c>
    </row>
    <row r="21" spans="1:21" ht="24.95" customHeight="1">
      <c r="A21" s="882"/>
      <c r="B21" s="1243" t="s">
        <v>37</v>
      </c>
      <c r="C21" s="1258"/>
      <c r="D21" s="122"/>
      <c r="E21" s="82"/>
      <c r="F21" s="82"/>
      <c r="G21" s="524">
        <f>SUM(D21:F21)</f>
        <v>0</v>
      </c>
      <c r="H21" s="237"/>
      <c r="I21" s="544"/>
      <c r="J21" s="127" t="str">
        <f>IF(R21=1,Intake_missing,IF(S21=1,Only_intake_recorded,"OK"))</f>
        <v>OK</v>
      </c>
      <c r="K21" s="553" t="str">
        <f>IF(OR(T21=1,U21=1),Intake_inconsistent,"OK")</f>
        <v>OK</v>
      </c>
      <c r="L21" s="544"/>
      <c r="M21" s="544"/>
      <c r="N21" s="544"/>
      <c r="O21" s="544"/>
      <c r="P21" s="544"/>
    </row>
    <row r="22" spans="1:21" ht="24.95" customHeight="1">
      <c r="A22" s="882"/>
      <c r="B22" s="1243" t="s">
        <v>38</v>
      </c>
      <c r="C22" s="1257"/>
      <c r="D22" s="122"/>
      <c r="E22" s="82"/>
      <c r="F22" s="82"/>
      <c r="G22" s="524">
        <f>SUM(D22:F22)</f>
        <v>0</v>
      </c>
      <c r="H22" s="237"/>
      <c r="I22" s="544"/>
      <c r="J22" s="127" t="str">
        <f>IF(R22=1,Intake_missing,IF(S22=1,Only_intake_recorded,"OK"))</f>
        <v>OK</v>
      </c>
      <c r="K22" s="553" t="str">
        <f>IF(OR(T22=1,U22=1),Intake_inconsistent,"OK")</f>
        <v>OK</v>
      </c>
      <c r="L22" s="544"/>
      <c r="M22" s="544"/>
      <c r="N22" s="544"/>
      <c r="O22" s="544"/>
      <c r="P22" s="544"/>
      <c r="R22" s="1416">
        <f>IF(AND(C22=0,G22&gt;0),1,0)</f>
        <v>0</v>
      </c>
      <c r="S22" s="1416">
        <f>IF(AND(C22&gt;0,G22=0),1,0)</f>
        <v>0</v>
      </c>
      <c r="T22" s="1416">
        <f>IF(C22&gt;G22,1,0)</f>
        <v>0</v>
      </c>
      <c r="U22" s="1416">
        <f>IF(AND(SUM(E22:F22)&gt;0,C22=G22),1,0)</f>
        <v>0</v>
      </c>
    </row>
    <row r="23" spans="1:21" ht="24.95" customHeight="1">
      <c r="A23" s="882"/>
      <c r="B23" s="1244" t="s">
        <v>2</v>
      </c>
      <c r="C23" s="1260">
        <f>SUM(C20:C22)</f>
        <v>0</v>
      </c>
      <c r="D23" s="1250">
        <f>SUM(D20:D22)</f>
        <v>0</v>
      </c>
      <c r="E23" s="241">
        <f>SUM(E20:E22)</f>
        <v>0</v>
      </c>
      <c r="F23" s="241">
        <f>SUM(F20:F22)</f>
        <v>0</v>
      </c>
      <c r="G23" s="524">
        <f>SUM(D23:F23)</f>
        <v>0</v>
      </c>
      <c r="H23" s="237"/>
      <c r="I23" s="544"/>
      <c r="J23" s="555"/>
      <c r="K23" s="556"/>
      <c r="L23" s="544"/>
      <c r="M23" s="544"/>
      <c r="N23" s="544"/>
      <c r="O23" s="544"/>
      <c r="P23" s="544"/>
      <c r="R23" s="1416"/>
      <c r="S23" s="1416"/>
      <c r="T23" s="1416"/>
      <c r="U23" s="1416"/>
    </row>
    <row r="24" spans="1:21" ht="30" customHeight="1">
      <c r="A24" s="882"/>
      <c r="B24" s="1242" t="s">
        <v>40</v>
      </c>
      <c r="C24" s="1262"/>
      <c r="D24" s="239"/>
      <c r="E24" s="238"/>
      <c r="F24" s="244"/>
      <c r="G24" s="245"/>
      <c r="H24" s="237"/>
      <c r="I24" s="544"/>
      <c r="J24" s="558"/>
      <c r="K24" s="554"/>
      <c r="L24" s="544"/>
      <c r="M24" s="544"/>
      <c r="N24" s="544"/>
      <c r="O24" s="544"/>
      <c r="P24" s="544"/>
    </row>
    <row r="25" spans="1:21" ht="24.95" customHeight="1">
      <c r="A25" s="882"/>
      <c r="B25" s="1243" t="s">
        <v>36</v>
      </c>
      <c r="C25" s="1257"/>
      <c r="D25" s="122"/>
      <c r="E25" s="82"/>
      <c r="F25" s="82"/>
      <c r="G25" s="524">
        <f>SUM(D25:F25)</f>
        <v>0</v>
      </c>
      <c r="H25" s="237"/>
      <c r="I25" s="544"/>
      <c r="J25" s="127" t="str">
        <f>IF(R25=1,Intake_missing,IF(S25=1,Only_intake_recorded,"OK"))</f>
        <v>OK</v>
      </c>
      <c r="K25" s="553" t="str">
        <f>IF(OR(T25=1,U25=1),Intake_inconsistent,"OK")</f>
        <v>OK</v>
      </c>
      <c r="L25" s="544"/>
      <c r="M25" s="544"/>
      <c r="N25" s="544"/>
      <c r="O25" s="544"/>
      <c r="P25" s="544"/>
      <c r="R25" s="1416">
        <f>IF(AND(C25=0,G25&gt;0),1,0)</f>
        <v>0</v>
      </c>
      <c r="S25" s="1416">
        <f>IF(AND(C25&gt;0,G25=0),1,0)</f>
        <v>0</v>
      </c>
      <c r="T25" s="1416">
        <f>IF(C25&gt;G25,1,0)</f>
        <v>0</v>
      </c>
      <c r="U25" s="1416">
        <f>IF(AND(SUM(E25:F25)&gt;0,C25=G25),1,0)</f>
        <v>0</v>
      </c>
    </row>
    <row r="26" spans="1:21" ht="24.95" customHeight="1">
      <c r="A26" s="882"/>
      <c r="B26" s="1243" t="s">
        <v>37</v>
      </c>
      <c r="C26" s="1258"/>
      <c r="D26" s="122"/>
      <c r="E26" s="82"/>
      <c r="F26" s="82"/>
      <c r="G26" s="524">
        <f>SUM(D26:F26)</f>
        <v>0</v>
      </c>
      <c r="H26" s="237"/>
      <c r="I26" s="544"/>
      <c r="J26" s="127" t="str">
        <f>IF(R26=1,Intake_missing,IF(S26=1,Only_intake_recorded,"OK"))</f>
        <v>OK</v>
      </c>
      <c r="K26" s="553" t="str">
        <f>IF(OR(T26=1,U26=1),Intake_inconsistent,"OK")</f>
        <v>OK</v>
      </c>
      <c r="L26" s="544"/>
      <c r="M26" s="544"/>
      <c r="N26" s="544"/>
      <c r="O26" s="544"/>
      <c r="P26" s="544"/>
    </row>
    <row r="27" spans="1:21" ht="24.95" customHeight="1">
      <c r="A27" s="882"/>
      <c r="B27" s="1243" t="s">
        <v>38</v>
      </c>
      <c r="C27" s="1259"/>
      <c r="D27" s="540"/>
      <c r="E27" s="240"/>
      <c r="F27" s="240"/>
      <c r="G27" s="525">
        <f>SUM(D27:F27)</f>
        <v>0</v>
      </c>
      <c r="H27" s="237"/>
      <c r="I27" s="544"/>
      <c r="J27" s="127" t="str">
        <f>IF(R27=1,Intake_missing,IF(S27=1,Only_intake_recorded,"OK"))</f>
        <v>OK</v>
      </c>
      <c r="K27" s="553" t="str">
        <f>IF(OR(T27=1,U27=1),Intake_inconsistent,"OK")</f>
        <v>OK</v>
      </c>
      <c r="L27" s="544"/>
      <c r="M27" s="544"/>
      <c r="N27" s="544"/>
      <c r="O27" s="544"/>
      <c r="P27" s="544"/>
      <c r="R27" s="1416">
        <f>IF(AND(C27=0,G27&gt;0),1,0)</f>
        <v>0</v>
      </c>
      <c r="S27" s="1416">
        <f>IF(AND(C27&gt;0,G27=0),1,0)</f>
        <v>0</v>
      </c>
      <c r="T27" s="1416">
        <f>IF(C27&gt;G27,1,0)</f>
        <v>0</v>
      </c>
      <c r="U27" s="1416">
        <f>IF(AND(SUM(E27:F27)&gt;0,C27=G27),1,0)</f>
        <v>0</v>
      </c>
    </row>
    <row r="28" spans="1:21" ht="24.95" customHeight="1">
      <c r="A28" s="882"/>
      <c r="B28" s="1244" t="s">
        <v>2</v>
      </c>
      <c r="C28" s="1260">
        <f>SUM(C25:C27)</f>
        <v>0</v>
      </c>
      <c r="D28" s="1250">
        <f>SUM(D25:D27)</f>
        <v>0</v>
      </c>
      <c r="E28" s="241">
        <f>SUM(E25:E27)</f>
        <v>0</v>
      </c>
      <c r="F28" s="241">
        <f>SUM(F25:F27)</f>
        <v>0</v>
      </c>
      <c r="G28" s="524">
        <f>SUM(D28:F28)</f>
        <v>0</v>
      </c>
      <c r="H28" s="237"/>
      <c r="I28" s="544"/>
      <c r="J28" s="555"/>
      <c r="K28" s="556"/>
      <c r="L28" s="544"/>
      <c r="M28" s="544"/>
      <c r="N28" s="544"/>
      <c r="O28" s="544"/>
      <c r="P28" s="544"/>
      <c r="R28" s="1416"/>
      <c r="S28" s="1416"/>
      <c r="T28" s="1416"/>
      <c r="U28" s="1416"/>
    </row>
    <row r="29" spans="1:21" ht="30" customHeight="1">
      <c r="A29" s="882"/>
      <c r="B29" s="1242" t="s">
        <v>41</v>
      </c>
      <c r="C29" s="1263"/>
      <c r="D29" s="243"/>
      <c r="E29" s="242"/>
      <c r="F29" s="246"/>
      <c r="G29" s="247"/>
      <c r="H29" s="237"/>
      <c r="I29" s="544"/>
      <c r="J29" s="558"/>
      <c r="K29" s="554"/>
      <c r="L29" s="544"/>
      <c r="M29" s="544"/>
      <c r="N29" s="544"/>
      <c r="O29" s="544"/>
      <c r="P29" s="544"/>
    </row>
    <row r="30" spans="1:21" ht="24.95" customHeight="1">
      <c r="A30" s="882"/>
      <c r="B30" s="1243" t="s">
        <v>36</v>
      </c>
      <c r="C30" s="1257"/>
      <c r="D30" s="122"/>
      <c r="E30" s="82"/>
      <c r="F30" s="82"/>
      <c r="G30" s="524">
        <f>SUM(D30:F30)</f>
        <v>0</v>
      </c>
      <c r="H30" s="237"/>
      <c r="I30" s="544"/>
      <c r="J30" s="127" t="str">
        <f>IF(R30=1,Intake_missing,IF(S30=1,Only_intake_recorded,"OK"))</f>
        <v>OK</v>
      </c>
      <c r="K30" s="553" t="str">
        <f>IF(OR(T30=1,U30=1),Intake_inconsistent,"OK")</f>
        <v>OK</v>
      </c>
      <c r="L30" s="544"/>
      <c r="M30" s="544"/>
      <c r="N30" s="544"/>
      <c r="O30" s="544"/>
      <c r="P30" s="544"/>
      <c r="R30" s="1416">
        <f>IF(AND(C30=0,G30&gt;0),1,0)</f>
        <v>0</v>
      </c>
      <c r="S30" s="1416">
        <f>IF(AND(C30&gt;0,G30=0),1,0)</f>
        <v>0</v>
      </c>
      <c r="T30" s="1416">
        <f>IF(C30&gt;G30,1,0)</f>
        <v>0</v>
      </c>
      <c r="U30" s="1416">
        <f>IF(AND(SUM(E30:F30)&gt;0,C30=G30),1,0)</f>
        <v>0</v>
      </c>
    </row>
    <row r="31" spans="1:21" ht="24.95" customHeight="1">
      <c r="A31" s="882"/>
      <c r="B31" s="1243" t="s">
        <v>37</v>
      </c>
      <c r="C31" s="1258"/>
      <c r="D31" s="122"/>
      <c r="E31" s="82"/>
      <c r="F31" s="82"/>
      <c r="G31" s="524">
        <f>SUM(D31:F31)</f>
        <v>0</v>
      </c>
      <c r="H31" s="237"/>
      <c r="I31" s="544"/>
      <c r="J31" s="127" t="str">
        <f>IF(R31=1,Intake_missing,IF(S31=1,Only_intake_recorded,"OK"))</f>
        <v>OK</v>
      </c>
      <c r="K31" s="553" t="str">
        <f>IF(OR(T31=1,U31=1),Intake_inconsistent,"OK")</f>
        <v>OK</v>
      </c>
      <c r="L31" s="544"/>
      <c r="M31" s="544"/>
      <c r="N31" s="544"/>
      <c r="O31" s="544"/>
      <c r="P31" s="544"/>
    </row>
    <row r="32" spans="1:21" ht="24.95" customHeight="1">
      <c r="A32" s="882"/>
      <c r="B32" s="1243" t="s">
        <v>38</v>
      </c>
      <c r="C32" s="1259"/>
      <c r="D32" s="540"/>
      <c r="E32" s="240"/>
      <c r="F32" s="240"/>
      <c r="G32" s="525">
        <f>SUM(D32:F32)</f>
        <v>0</v>
      </c>
      <c r="H32" s="237"/>
      <c r="I32" s="544"/>
      <c r="J32" s="127" t="str">
        <f>IF(R32=1,Intake_missing,IF(S32=1,Only_intake_recorded,"OK"))</f>
        <v>OK</v>
      </c>
      <c r="K32" s="553" t="str">
        <f>IF(OR(T32=1,U32=1),Intake_inconsistent,"OK")</f>
        <v>OK</v>
      </c>
      <c r="L32" s="544"/>
      <c r="M32" s="544"/>
      <c r="N32" s="544"/>
      <c r="O32" s="544"/>
      <c r="P32" s="544"/>
      <c r="R32" s="1416">
        <f>IF(AND(C32=0,G32&gt;0),1,0)</f>
        <v>0</v>
      </c>
      <c r="S32" s="1416">
        <f>IF(AND(C32&gt;0,G32=0),1,0)</f>
        <v>0</v>
      </c>
      <c r="T32" s="1416">
        <f>IF(C32&gt;G32,1,0)</f>
        <v>0</v>
      </c>
      <c r="U32" s="1416">
        <f>IF(AND(SUM(E32:F32)&gt;0,C32=G32),1,0)</f>
        <v>0</v>
      </c>
    </row>
    <row r="33" spans="1:21" ht="24.95" customHeight="1">
      <c r="A33" s="882"/>
      <c r="B33" s="1244" t="s">
        <v>2</v>
      </c>
      <c r="C33" s="1260">
        <f>SUM(C30:C32)</f>
        <v>0</v>
      </c>
      <c r="D33" s="1250">
        <f>SUM(D30:D32)</f>
        <v>0</v>
      </c>
      <c r="E33" s="241">
        <f>SUM(E30:E32)</f>
        <v>0</v>
      </c>
      <c r="F33" s="241">
        <f>SUM(F30:F32)</f>
        <v>0</v>
      </c>
      <c r="G33" s="524">
        <f>SUM(D33:F33)</f>
        <v>0</v>
      </c>
      <c r="H33" s="237"/>
      <c r="I33" s="544"/>
      <c r="J33" s="555"/>
      <c r="K33" s="556"/>
      <c r="L33" s="544"/>
      <c r="M33" s="544"/>
      <c r="N33" s="544"/>
      <c r="O33" s="544"/>
      <c r="P33" s="544"/>
      <c r="R33" s="1416"/>
      <c r="S33" s="1416"/>
      <c r="T33" s="1416"/>
      <c r="U33" s="1416"/>
    </row>
    <row r="34" spans="1:21" ht="30" customHeight="1">
      <c r="A34" s="882"/>
      <c r="B34" s="1242" t="s">
        <v>42</v>
      </c>
      <c r="C34" s="1263"/>
      <c r="D34" s="243"/>
      <c r="E34" s="242"/>
      <c r="F34" s="246"/>
      <c r="G34" s="247"/>
      <c r="H34" s="237"/>
      <c r="I34" s="544"/>
      <c r="J34" s="559"/>
      <c r="K34" s="560"/>
      <c r="L34" s="544"/>
      <c r="M34" s="862" t="s">
        <v>270</v>
      </c>
      <c r="N34" s="544"/>
      <c r="O34" s="544"/>
      <c r="P34" s="544"/>
    </row>
    <row r="35" spans="1:21" ht="24.95" customHeight="1" thickBot="1">
      <c r="A35" s="882"/>
      <c r="B35" s="1243" t="s">
        <v>36</v>
      </c>
      <c r="C35" s="1257"/>
      <c r="D35" s="122"/>
      <c r="E35" s="82"/>
      <c r="F35" s="82"/>
      <c r="G35" s="524">
        <f>SUM(D35:F35)</f>
        <v>0</v>
      </c>
      <c r="H35" s="237"/>
      <c r="I35" s="544"/>
      <c r="J35" s="127" t="str">
        <f>IF(R35=1,Intake_missing,IF(S35=1,Only_intake_recorded,"OK"))</f>
        <v>OK</v>
      </c>
      <c r="K35" s="553" t="str">
        <f>IF(OR(T35=1,U35=1),Intake_inconsistent,"OK")</f>
        <v>OK</v>
      </c>
      <c r="L35" s="544"/>
      <c r="M35" s="544"/>
      <c r="N35" s="544"/>
      <c r="O35" s="544"/>
      <c r="P35" s="544"/>
      <c r="R35" s="1416">
        <f>IF(AND(C35=0,G35&gt;0),1,0)</f>
        <v>0</v>
      </c>
      <c r="S35" s="1416">
        <f>IF(AND(C35&gt;0,G35=0),1,0)</f>
        <v>0</v>
      </c>
      <c r="T35" s="1416">
        <f>IF(C35&gt;G35,1,0)</f>
        <v>0</v>
      </c>
      <c r="U35" s="1416">
        <f>IF(AND(SUM(E35:F35)&gt;0,C35=G35),1,0)</f>
        <v>0</v>
      </c>
    </row>
    <row r="36" spans="1:21" ht="24.95" customHeight="1">
      <c r="A36" s="882"/>
      <c r="B36" s="1243" t="s">
        <v>37</v>
      </c>
      <c r="C36" s="1258"/>
      <c r="D36" s="122"/>
      <c r="E36" s="82"/>
      <c r="F36" s="82"/>
      <c r="G36" s="524">
        <f>SUM(D36:F36)</f>
        <v>0</v>
      </c>
      <c r="H36" s="237"/>
      <c r="I36" s="237"/>
      <c r="J36" s="127" t="str">
        <f>IF(R36=1,Intake_missing,IF(S36=1,Only_intake_recorded,"OK"))</f>
        <v>OK</v>
      </c>
      <c r="K36" s="553" t="str">
        <f>IF(OR(T36=1,U36=1),Intake_inconsistent,"OK")</f>
        <v>OK</v>
      </c>
      <c r="L36" s="544"/>
      <c r="M36" s="1612" t="s">
        <v>61</v>
      </c>
      <c r="N36" s="1713" t="s">
        <v>239</v>
      </c>
      <c r="O36" s="566" t="s">
        <v>80</v>
      </c>
      <c r="P36" s="523"/>
      <c r="R36" s="1434"/>
      <c r="S36" s="1435"/>
    </row>
    <row r="37" spans="1:21" ht="24.95" customHeight="1">
      <c r="A37" s="882"/>
      <c r="B37" s="1244" t="s">
        <v>2</v>
      </c>
      <c r="C37" s="1260">
        <f>SUM(C35:C36)</f>
        <v>0</v>
      </c>
      <c r="D37" s="1250">
        <f>SUM(D35:D36)</f>
        <v>0</v>
      </c>
      <c r="E37" s="241">
        <f>SUM(E35:E36)</f>
        <v>0</v>
      </c>
      <c r="F37" s="241">
        <f>SUM(F35:F36)</f>
        <v>0</v>
      </c>
      <c r="G37" s="524">
        <f>SUM(D37:F37)</f>
        <v>0</v>
      </c>
      <c r="H37" s="237"/>
      <c r="I37" s="544"/>
      <c r="J37" s="549"/>
      <c r="K37" s="561"/>
      <c r="L37" s="544"/>
      <c r="M37" s="1613"/>
      <c r="N37" s="1773"/>
      <c r="O37" s="567"/>
      <c r="P37" s="523"/>
      <c r="R37" s="1434"/>
      <c r="S37" s="1435"/>
    </row>
    <row r="38" spans="1:21" ht="35.1" customHeight="1" thickBot="1">
      <c r="A38" s="882"/>
      <c r="B38" s="1245" t="s">
        <v>251</v>
      </c>
      <c r="C38" s="1264">
        <f>SUM(C18,C23,C28,C33,C37)</f>
        <v>0</v>
      </c>
      <c r="D38" s="1251">
        <f>SUM(D18,D23,D28,D33,D37)</f>
        <v>0</v>
      </c>
      <c r="E38" s="249">
        <f>SUM(E18,E23,E28,E33,E37)</f>
        <v>0</v>
      </c>
      <c r="F38" s="249">
        <f>SUM(F18,F23,F28,F33,F37)</f>
        <v>0</v>
      </c>
      <c r="G38" s="526">
        <f>SUM(D38:F38)</f>
        <v>0</v>
      </c>
      <c r="H38" s="250"/>
      <c r="I38" s="673"/>
      <c r="J38" s="562"/>
      <c r="K38" s="563"/>
      <c r="L38" s="673"/>
      <c r="M38" s="1614">
        <f>'Table 1 (Main)'!$O$39</f>
        <v>0</v>
      </c>
      <c r="N38" s="692">
        <f>G38-M38</f>
        <v>0</v>
      </c>
      <c r="O38" s="568" t="str">
        <f>IF(ABS(N38)&gt;0.1,"Does not equal figure in Table 1","OK")</f>
        <v>OK</v>
      </c>
      <c r="P38" s="545"/>
      <c r="R38" s="1427"/>
      <c r="S38" s="1435"/>
    </row>
    <row r="39" spans="1:21" ht="35.1" customHeight="1">
      <c r="A39" s="882"/>
      <c r="B39" s="1246" t="s">
        <v>9</v>
      </c>
      <c r="C39" s="1265"/>
      <c r="D39" s="1252"/>
      <c r="E39" s="532"/>
      <c r="F39" s="532"/>
      <c r="G39" s="531"/>
      <c r="H39" s="225"/>
      <c r="I39" s="224"/>
      <c r="J39" s="551"/>
      <c r="K39" s="564"/>
      <c r="L39" s="224"/>
      <c r="M39" s="224"/>
      <c r="N39" s="224"/>
      <c r="O39" s="224"/>
      <c r="P39" s="224"/>
    </row>
    <row r="40" spans="1:21" ht="24.95" customHeight="1">
      <c r="A40" s="882"/>
      <c r="B40" s="1247" t="s">
        <v>35</v>
      </c>
      <c r="C40" s="1257"/>
      <c r="D40" s="933"/>
      <c r="E40" s="82"/>
      <c r="F40" s="82"/>
      <c r="G40" s="236">
        <f t="shared" ref="G40:G46" si="0">SUM(D40:F40)</f>
        <v>0</v>
      </c>
      <c r="H40" s="541"/>
      <c r="I40" s="529"/>
      <c r="J40" s="127" t="str">
        <f>IF(R40=1,Intake_missing,IF(S40=1,Only_intake_recorded,"OK"))</f>
        <v>OK</v>
      </c>
      <c r="K40" s="553" t="str">
        <f>IF(OR(T40=1,U40=1),Intake_inconsistent,"OK")</f>
        <v>OK</v>
      </c>
      <c r="L40" s="529"/>
      <c r="M40" s="529"/>
      <c r="N40" s="529"/>
      <c r="O40" s="529"/>
      <c r="P40" s="529"/>
      <c r="R40" s="1416">
        <f>IF(AND(C40=0,G40&gt;0),1,0)</f>
        <v>0</v>
      </c>
      <c r="S40" s="1416">
        <f>IF(AND(C40&gt;0,G40=0),1,0)</f>
        <v>0</v>
      </c>
      <c r="T40" s="1416">
        <f>IF(C40&gt;G40,1,0)</f>
        <v>0</v>
      </c>
      <c r="U40" s="1416">
        <f>IF(AND(SUM(E40:F40)&gt;0,C40=G40),1,0)</f>
        <v>0</v>
      </c>
    </row>
    <row r="41" spans="1:21" ht="24.95" customHeight="1">
      <c r="A41" s="882"/>
      <c r="B41" s="1247" t="s">
        <v>39</v>
      </c>
      <c r="C41" s="1257"/>
      <c r="D41" s="933"/>
      <c r="E41" s="82"/>
      <c r="F41" s="82"/>
      <c r="G41" s="236">
        <f t="shared" si="0"/>
        <v>0</v>
      </c>
      <c r="H41" s="541"/>
      <c r="I41" s="529"/>
      <c r="J41" s="127" t="str">
        <f>IF(R41=1,Intake_missing,IF(S41=1,Only_intake_recorded,"OK"))</f>
        <v>OK</v>
      </c>
      <c r="K41" s="553" t="str">
        <f>IF(OR(T41=1,U41=1),Intake_inconsistent,"OK")</f>
        <v>OK</v>
      </c>
      <c r="L41" s="529"/>
      <c r="M41" s="862" t="s">
        <v>270</v>
      </c>
      <c r="N41" s="529"/>
      <c r="O41" s="529"/>
      <c r="P41" s="529"/>
      <c r="R41" s="1416">
        <f>IF(AND(C41=0,G41&gt;0),1,0)</f>
        <v>0</v>
      </c>
      <c r="S41" s="1416">
        <f>IF(AND(C41&gt;0,G41=0),1,0)</f>
        <v>0</v>
      </c>
      <c r="T41" s="1416">
        <f>IF(C41&gt;G41,1,0)</f>
        <v>0</v>
      </c>
      <c r="U41" s="1416">
        <f>IF(AND(SUM(E41:F41)&gt;0,C41=G41),1,0)</f>
        <v>0</v>
      </c>
    </row>
    <row r="42" spans="1:21" ht="24.95" customHeight="1" thickBot="1">
      <c r="A42" s="882"/>
      <c r="B42" s="1247" t="s">
        <v>40</v>
      </c>
      <c r="C42" s="1257"/>
      <c r="D42" s="933"/>
      <c r="E42" s="82"/>
      <c r="F42" s="82"/>
      <c r="G42" s="236">
        <f t="shared" si="0"/>
        <v>0</v>
      </c>
      <c r="H42" s="541"/>
      <c r="I42" s="529"/>
      <c r="J42" s="127" t="str">
        <f>IF(R42=1,Intake_missing,IF(S42=1,Only_intake_recorded,"OK"))</f>
        <v>OK</v>
      </c>
      <c r="K42" s="553" t="str">
        <f>IF(OR(T42=1,U42=1),Intake_inconsistent,"OK")</f>
        <v>OK</v>
      </c>
      <c r="L42" s="529"/>
      <c r="M42" s="529"/>
      <c r="N42" s="529"/>
      <c r="O42" s="529"/>
      <c r="P42" s="529"/>
      <c r="R42" s="1416">
        <f>IF(AND(C42=0,G42&gt;0),1,0)</f>
        <v>0</v>
      </c>
      <c r="S42" s="1416">
        <f>IF(AND(C42&gt;0,G42=0),1,0)</f>
        <v>0</v>
      </c>
      <c r="T42" s="1416">
        <f>IF(C42&gt;G42,1,0)</f>
        <v>0</v>
      </c>
      <c r="U42" s="1416">
        <f>IF(AND(SUM(E42:F42)&gt;0,C42=G42),1,0)</f>
        <v>0</v>
      </c>
    </row>
    <row r="43" spans="1:21" ht="24.95" customHeight="1">
      <c r="A43" s="882"/>
      <c r="B43" s="1247" t="s">
        <v>41</v>
      </c>
      <c r="C43" s="1257"/>
      <c r="D43" s="933"/>
      <c r="E43" s="82"/>
      <c r="F43" s="82"/>
      <c r="G43" s="236">
        <f t="shared" si="0"/>
        <v>0</v>
      </c>
      <c r="H43" s="541"/>
      <c r="I43" s="674"/>
      <c r="J43" s="127" t="str">
        <f>IF(R43=1,Intake_missing,IF(S43=1,Only_intake_recorded,"OK"))</f>
        <v>OK</v>
      </c>
      <c r="K43" s="553" t="str">
        <f>IF(OR(T43=1,U43=1),Intake_inconsistent,"OK")</f>
        <v>OK</v>
      </c>
      <c r="L43" s="529"/>
      <c r="M43" s="1612" t="s">
        <v>61</v>
      </c>
      <c r="N43" s="1713" t="s">
        <v>239</v>
      </c>
      <c r="O43" s="566" t="s">
        <v>80</v>
      </c>
      <c r="P43" s="529"/>
      <c r="R43" s="1416">
        <f>IF(AND(C43=0,G43&gt;0),1,0)</f>
        <v>0</v>
      </c>
      <c r="S43" s="1416">
        <f>IF(AND(C43&gt;0,G43=0),1,0)</f>
        <v>0</v>
      </c>
      <c r="T43" s="1416">
        <f>IF(C43&gt;G43,1,0)</f>
        <v>0</v>
      </c>
      <c r="U43" s="1416">
        <f>IF(AND(SUM(E43:F43)&gt;0,C43=G43),1,0)</f>
        <v>0</v>
      </c>
    </row>
    <row r="44" spans="1:21" ht="24.95" customHeight="1" thickBot="1">
      <c r="A44" s="882"/>
      <c r="B44" s="1247" t="s">
        <v>42</v>
      </c>
      <c r="C44" s="1257"/>
      <c r="D44" s="933"/>
      <c r="E44" s="82"/>
      <c r="F44" s="82"/>
      <c r="G44" s="236">
        <f t="shared" si="0"/>
        <v>0</v>
      </c>
      <c r="H44" s="542"/>
      <c r="I44" s="530"/>
      <c r="J44" s="140" t="str">
        <f>IF(R44=1,Intake_missing,IF(S44=1,Only_intake_recorded,"OK"))</f>
        <v>OK</v>
      </c>
      <c r="K44" s="565" t="str">
        <f>IF(OR(T44=1,U44=1),Intake_inconsistent,"OK")</f>
        <v>OK</v>
      </c>
      <c r="L44" s="530"/>
      <c r="M44" s="1613"/>
      <c r="N44" s="1773"/>
      <c r="O44" s="567"/>
      <c r="P44" s="530"/>
      <c r="R44" s="1416">
        <f>IF(AND(C44=0,G44&gt;0),1,0)</f>
        <v>0</v>
      </c>
      <c r="S44" s="1416">
        <f>IF(AND(C44&gt;0,G44=0),1,0)</f>
        <v>0</v>
      </c>
      <c r="T44" s="1416">
        <f>IF(C44&gt;G44,1,0)</f>
        <v>0</v>
      </c>
      <c r="U44" s="1416">
        <f>IF(AND(SUM(E44:F44)&gt;0,C44=G44),1,0)</f>
        <v>0</v>
      </c>
    </row>
    <row r="45" spans="1:21" ht="35.1" customHeight="1" thickBot="1">
      <c r="A45" s="882"/>
      <c r="B45" s="1248" t="s">
        <v>2</v>
      </c>
      <c r="C45" s="1266">
        <f>SUM(C40:C44)</f>
        <v>0</v>
      </c>
      <c r="D45" s="1253">
        <f>SUM(D40:D44)</f>
        <v>0</v>
      </c>
      <c r="E45" s="533">
        <f>SUM(E40:E44)</f>
        <v>0</v>
      </c>
      <c r="F45" s="533">
        <f>SUM(F40:F44)</f>
        <v>0</v>
      </c>
      <c r="G45" s="537">
        <f>SUM(D45:F45)</f>
        <v>0</v>
      </c>
      <c r="H45" s="542"/>
      <c r="I45" s="530"/>
      <c r="J45" s="534"/>
      <c r="K45" s="534"/>
      <c r="L45" s="530"/>
      <c r="M45" s="1614">
        <f>'Table 1 (Main)'!$O$16</f>
        <v>0</v>
      </c>
      <c r="N45" s="692">
        <f>G45-M45</f>
        <v>0</v>
      </c>
      <c r="O45" s="568" t="str">
        <f>IF(ABS(N45)&gt;0.1,"Does not equal figure in Table 1","OK")</f>
        <v>OK</v>
      </c>
      <c r="P45" s="530"/>
      <c r="R45" s="1419"/>
      <c r="S45" s="1419"/>
      <c r="T45" s="1419"/>
      <c r="U45" s="1419"/>
    </row>
    <row r="46" spans="1:21" ht="35.1" customHeight="1" thickBot="1">
      <c r="A46" s="882"/>
      <c r="B46" s="1249" t="s">
        <v>2</v>
      </c>
      <c r="C46" s="1267">
        <f>SUM(C38,C45)</f>
        <v>0</v>
      </c>
      <c r="D46" s="1254">
        <f>SUM(D38,D45)</f>
        <v>0</v>
      </c>
      <c r="E46" s="538">
        <f t="shared" ref="E46:F46" si="1">SUM(E38,E45)</f>
        <v>0</v>
      </c>
      <c r="F46" s="538">
        <f t="shared" si="1"/>
        <v>0</v>
      </c>
      <c r="G46" s="539">
        <f t="shared" si="0"/>
        <v>0</v>
      </c>
      <c r="H46" s="542"/>
      <c r="I46" s="530"/>
      <c r="J46" s="534"/>
      <c r="K46" s="534"/>
      <c r="L46" s="530"/>
      <c r="M46" s="530"/>
      <c r="N46" s="530"/>
      <c r="O46" s="530"/>
      <c r="P46" s="530"/>
    </row>
    <row r="47" spans="1:21">
      <c r="A47" s="907"/>
      <c r="B47" s="904"/>
      <c r="C47" s="904"/>
      <c r="D47" s="904"/>
      <c r="E47" s="904"/>
      <c r="F47" s="904"/>
      <c r="G47" s="904"/>
      <c r="H47" s="906"/>
      <c r="I47" s="534"/>
      <c r="J47" s="534"/>
      <c r="K47" s="534"/>
      <c r="L47" s="534"/>
      <c r="M47" s="534"/>
      <c r="N47" s="534"/>
      <c r="O47" s="534"/>
      <c r="P47" s="534"/>
    </row>
  </sheetData>
  <sheetProtection password="E23E" sheet="1" objects="1" scenarios="1"/>
  <mergeCells count="9">
    <mergeCell ref="C4:E4"/>
    <mergeCell ref="C8:C9"/>
    <mergeCell ref="D8:G8"/>
    <mergeCell ref="N36:N37"/>
    <mergeCell ref="N43:N44"/>
    <mergeCell ref="R2:R8"/>
    <mergeCell ref="S2:S8"/>
    <mergeCell ref="T2:T8"/>
    <mergeCell ref="U2:U8"/>
  </mergeCells>
  <conditionalFormatting sqref="J15:K15 J38:K38 J17:K18 J20:K20 J22:K23 J25:K25 J27:K28 J30:K30 J32:K33 J35:K35">
    <cfRule type="expression" dxfId="45" priority="12" stopIfTrue="1">
      <formula>$F$4=0</formula>
    </cfRule>
  </conditionalFormatting>
  <conditionalFormatting sqref="B2">
    <cfRule type="expression" dxfId="44" priority="11" stopIfTrue="1">
      <formula>#REF!=0</formula>
    </cfRule>
  </conditionalFormatting>
  <conditionalFormatting sqref="A1:P1">
    <cfRule type="expression" dxfId="43" priority="13" stopIfTrue="1">
      <formula>$F$4=0</formula>
    </cfRule>
  </conditionalFormatting>
  <conditionalFormatting sqref="C15:F17 C20:F22 C25:F27 C30:F32 C35:F36 C40:F44">
    <cfRule type="expression" dxfId="42" priority="14" stopIfTrue="1">
      <formula>$F$4=0</formula>
    </cfRule>
  </conditionalFormatting>
  <conditionalFormatting sqref="D45:G45">
    <cfRule type="expression" dxfId="41" priority="9" stopIfTrue="1">
      <formula>#REF!=0</formula>
    </cfRule>
  </conditionalFormatting>
  <conditionalFormatting sqref="C45">
    <cfRule type="expression" dxfId="40" priority="10" stopIfTrue="1">
      <formula>#REF!=0</formula>
    </cfRule>
  </conditionalFormatting>
  <conditionalFormatting sqref="J40:K44">
    <cfRule type="expression" dxfId="39" priority="8" stopIfTrue="1">
      <formula>$F$4=0</formula>
    </cfRule>
  </conditionalFormatting>
  <conditionalFormatting sqref="J16:K16">
    <cfRule type="expression" dxfId="38" priority="7" stopIfTrue="1">
      <formula>$F$4=0</formula>
    </cfRule>
  </conditionalFormatting>
  <conditionalFormatting sqref="J21:K21">
    <cfRule type="expression" dxfId="37" priority="6" stopIfTrue="1">
      <formula>$F$4=0</formula>
    </cfRule>
  </conditionalFormatting>
  <conditionalFormatting sqref="J26:K26">
    <cfRule type="expression" dxfId="36" priority="5" stopIfTrue="1">
      <formula>$F$4=0</formula>
    </cfRule>
  </conditionalFormatting>
  <conditionalFormatting sqref="J31:K31">
    <cfRule type="expression" dxfId="35" priority="4" stopIfTrue="1">
      <formula>$F$4=0</formula>
    </cfRule>
  </conditionalFormatting>
  <conditionalFormatting sqref="J36:K36">
    <cfRule type="expression" dxfId="34" priority="3" stopIfTrue="1">
      <formula>$F$4=0</formula>
    </cfRule>
  </conditionalFormatting>
  <conditionalFormatting sqref="M38:O38">
    <cfRule type="expression" dxfId="33" priority="2">
      <formula>$F$4=0</formula>
    </cfRule>
  </conditionalFormatting>
  <conditionalFormatting sqref="M45:O45">
    <cfRule type="expression" dxfId="32" priority="1">
      <formula>$F$4=0</formula>
    </cfRule>
  </conditionalFormatting>
  <dataValidations count="2">
    <dataValidation type="custom" allowBlank="1" showErrorMessage="1" errorTitle="Number less than 0" error="You are trying to enter a number which is less than 0, please re-enter a valid number." sqref="D25:F28 C35 C45:G45 C17:C18 D15:F18 C22:C23 D20:F23 C27:C28 C32:C33 C15 C20 C25 C30 D30:F33 D35:F37 C37">
      <formula1>C15&gt;=0</formula1>
    </dataValidation>
    <dataValidation type="custom" errorStyle="warning" operator="greaterThanOrEqual" allowBlank="1" showInputMessage="1" showErrorMessage="1" error="Entry must be positive or zero, and no more than one decimal place" sqref="G35:G44 G25:G28 G15:G18 G20:G23 G30:G33">
      <formula1>AND(NOT(G15&lt;0),INT(G15*10)=G15*10)</formula1>
    </dataValidation>
  </dataValidations>
  <pageMargins left="0.19685039370078741" right="0.19685039370078741" top="0.19685039370078741" bottom="0.19685039370078741" header="0" footer="0"/>
  <pageSetup paperSize="9" scale="6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0" zoomScaleNormal="80" workbookViewId="0"/>
  </sheetViews>
  <sheetFormatPr defaultColWidth="9.140625" defaultRowHeight="15"/>
  <cols>
    <col min="1" max="1" width="2.7109375" style="1405" customWidth="1"/>
    <col min="2" max="2" width="24.7109375" style="1405" customWidth="1"/>
    <col min="3" max="3" width="16.7109375" style="1405" customWidth="1"/>
    <col min="4" max="4" width="22.28515625" style="1405" customWidth="1"/>
    <col min="5" max="5" width="25.42578125" style="1405" customWidth="1"/>
    <col min="6" max="6" width="4.7109375" style="1405" customWidth="1"/>
    <col min="7" max="8" width="12.7109375" style="1405" customWidth="1"/>
    <col min="9" max="9" width="20.7109375" style="1405" customWidth="1"/>
    <col min="10" max="10" width="40.42578125" style="1405" customWidth="1"/>
    <col min="11" max="11" width="4.7109375" style="1405" customWidth="1"/>
    <col min="12" max="16384" width="9.140625" style="1405"/>
  </cols>
  <sheetData>
    <row r="1" spans="1:11" ht="39.950000000000003" customHeight="1">
      <c r="A1" s="534"/>
      <c r="B1" s="579" t="str">
        <f>IF(E4=0,"Your Institution Does Not Complete This Table","")</f>
        <v/>
      </c>
      <c r="C1" s="42"/>
      <c r="D1" s="42"/>
      <c r="E1" s="42"/>
      <c r="F1" s="534"/>
      <c r="G1" s="534"/>
      <c r="H1" s="534"/>
      <c r="I1" s="534"/>
      <c r="J1" s="534"/>
      <c r="K1" s="534"/>
    </row>
    <row r="2" spans="1:11" ht="30" customHeight="1">
      <c r="A2" s="1020"/>
      <c r="B2" s="865" t="s">
        <v>368</v>
      </c>
      <c r="C2" s="45"/>
      <c r="D2" s="45"/>
      <c r="E2" s="197"/>
      <c r="F2" s="534"/>
      <c r="G2" s="534"/>
      <c r="H2" s="534"/>
      <c r="I2" s="534"/>
      <c r="J2" s="534"/>
      <c r="K2" s="534"/>
    </row>
    <row r="3" spans="1:11" ht="15" customHeight="1">
      <c r="A3" s="882"/>
      <c r="B3" s="187"/>
      <c r="C3" s="198"/>
      <c r="D3" s="198"/>
      <c r="E3" s="199"/>
      <c r="F3" s="534"/>
      <c r="G3" s="534"/>
      <c r="H3" s="534"/>
      <c r="I3" s="534"/>
      <c r="J3" s="534"/>
      <c r="K3" s="534"/>
    </row>
    <row r="4" spans="1:11" ht="35.1" customHeight="1">
      <c r="A4" s="882"/>
      <c r="B4" s="1046" t="s">
        <v>0</v>
      </c>
      <c r="C4" s="1718" t="str">
        <f>Background!$D$2</f>
        <v>Glasgow, University of</v>
      </c>
      <c r="D4" s="1738"/>
      <c r="E4" s="669">
        <f>VLOOKUP(Background!$C$2,Inst_Tables,9,FALSE)</f>
        <v>1</v>
      </c>
      <c r="F4" s="534"/>
      <c r="G4" s="534"/>
      <c r="H4" s="534"/>
      <c r="I4" s="534"/>
      <c r="J4" s="534"/>
      <c r="K4" s="534"/>
    </row>
    <row r="5" spans="1:11" ht="35.1" customHeight="1">
      <c r="A5" s="882"/>
      <c r="B5" s="1067" t="s">
        <v>352</v>
      </c>
      <c r="C5" s="202"/>
      <c r="D5" s="203"/>
      <c r="E5" s="204"/>
      <c r="F5" s="534"/>
      <c r="G5" s="534"/>
      <c r="H5" s="534"/>
      <c r="I5" s="534"/>
      <c r="J5" s="534"/>
      <c r="K5" s="534"/>
    </row>
    <row r="6" spans="1:11" ht="30" customHeight="1">
      <c r="A6" s="882"/>
      <c r="B6" s="1037" t="s">
        <v>435</v>
      </c>
      <c r="C6" s="202"/>
      <c r="D6" s="203"/>
      <c r="E6" s="204"/>
      <c r="F6" s="534"/>
      <c r="G6" s="534"/>
      <c r="H6" s="534"/>
      <c r="I6" s="534"/>
      <c r="J6" s="534"/>
      <c r="K6" s="534"/>
    </row>
    <row r="7" spans="1:11" ht="15" customHeight="1" thickBot="1">
      <c r="A7" s="882"/>
      <c r="B7" s="1037"/>
      <c r="C7" s="202"/>
      <c r="D7" s="203"/>
      <c r="E7" s="204"/>
      <c r="F7" s="534"/>
      <c r="G7" s="534"/>
      <c r="H7" s="534"/>
      <c r="I7" s="534"/>
      <c r="J7" s="534"/>
      <c r="K7" s="534"/>
    </row>
    <row r="8" spans="1:11" ht="75" customHeight="1">
      <c r="A8" s="882"/>
      <c r="B8" s="1048"/>
      <c r="C8" s="1277" t="s">
        <v>419</v>
      </c>
      <c r="D8" s="69"/>
      <c r="E8" s="77"/>
      <c r="F8" s="534"/>
      <c r="G8" s="534"/>
      <c r="H8" s="534"/>
      <c r="I8" s="534"/>
      <c r="J8" s="534"/>
      <c r="K8" s="534"/>
    </row>
    <row r="9" spans="1:11" ht="30" customHeight="1" thickBot="1">
      <c r="A9" s="882"/>
      <c r="B9" s="1787" t="s">
        <v>273</v>
      </c>
      <c r="C9" s="215" t="s">
        <v>18</v>
      </c>
      <c r="D9" s="69"/>
      <c r="E9" s="77"/>
      <c r="F9" s="534"/>
      <c r="G9" s="534"/>
      <c r="H9" s="534"/>
      <c r="I9" s="534"/>
      <c r="J9" s="534"/>
      <c r="K9" s="534"/>
    </row>
    <row r="10" spans="1:11" ht="30" customHeight="1">
      <c r="A10" s="882"/>
      <c r="B10" s="1787"/>
      <c r="C10" s="215" t="s">
        <v>31</v>
      </c>
      <c r="D10" s="69"/>
      <c r="E10" s="77"/>
      <c r="F10" s="534"/>
      <c r="G10" s="1623" t="s">
        <v>61</v>
      </c>
      <c r="H10" s="1779" t="s">
        <v>239</v>
      </c>
      <c r="I10" s="1788" t="s">
        <v>80</v>
      </c>
      <c r="J10" s="1789"/>
      <c r="K10" s="534"/>
    </row>
    <row r="11" spans="1:11" ht="30" customHeight="1" thickBot="1">
      <c r="A11" s="882"/>
      <c r="B11" s="1052"/>
      <c r="C11" s="1600">
        <v>1</v>
      </c>
      <c r="D11" s="69"/>
      <c r="E11" s="77"/>
      <c r="F11" s="534"/>
      <c r="G11" s="1624"/>
      <c r="H11" s="1780"/>
      <c r="I11" s="1626"/>
      <c r="J11" s="1628"/>
      <c r="K11" s="534"/>
    </row>
    <row r="12" spans="1:11" ht="35.1" customHeight="1" thickBot="1">
      <c r="A12" s="882"/>
      <c r="B12" s="1041" t="s">
        <v>262</v>
      </c>
      <c r="C12" s="1278">
        <v>41</v>
      </c>
      <c r="D12" s="105"/>
      <c r="E12" s="60"/>
      <c r="F12" s="534"/>
      <c r="G12" s="1625">
        <f>'Table 1 (Main)'!$O$40</f>
        <v>87</v>
      </c>
      <c r="H12" s="1627">
        <f>C18-G12</f>
        <v>60.050000000000011</v>
      </c>
      <c r="I12" s="1790" t="str">
        <f>IF(AND(G12&gt;0,H12&lt;0.1),"Total not more than Table 1?","OK")</f>
        <v>OK</v>
      </c>
      <c r="J12" s="1791"/>
      <c r="K12" s="534"/>
    </row>
    <row r="13" spans="1:11" ht="35.1" customHeight="1">
      <c r="A13" s="882"/>
      <c r="B13" s="1240" t="s">
        <v>263</v>
      </c>
      <c r="C13" s="1279"/>
      <c r="D13" s="105"/>
      <c r="E13" s="60"/>
      <c r="F13" s="534"/>
      <c r="G13" s="534"/>
      <c r="H13" s="534"/>
      <c r="I13" s="534"/>
      <c r="J13" s="534"/>
      <c r="K13" s="534"/>
    </row>
    <row r="14" spans="1:11" ht="35.1" customHeight="1">
      <c r="A14" s="882"/>
      <c r="B14" s="1044">
        <v>1</v>
      </c>
      <c r="C14" s="1280">
        <v>41</v>
      </c>
      <c r="D14" s="105"/>
      <c r="E14" s="60"/>
      <c r="F14" s="534"/>
      <c r="G14" s="534"/>
      <c r="H14" s="534"/>
      <c r="I14" s="534"/>
      <c r="J14" s="534"/>
      <c r="K14" s="534"/>
    </row>
    <row r="15" spans="1:11" ht="35.1" customHeight="1">
      <c r="A15" s="882"/>
      <c r="B15" s="1044">
        <v>2</v>
      </c>
      <c r="C15" s="1280">
        <v>46.97</v>
      </c>
      <c r="D15" s="105"/>
      <c r="E15" s="60"/>
      <c r="F15" s="534"/>
      <c r="G15" s="534"/>
      <c r="H15" s="534"/>
      <c r="I15" s="534"/>
      <c r="J15" s="534"/>
      <c r="K15" s="534"/>
    </row>
    <row r="16" spans="1:11" ht="35.1" customHeight="1" thickBot="1">
      <c r="A16" s="882"/>
      <c r="B16" s="1044">
        <v>3</v>
      </c>
      <c r="C16" s="1280">
        <v>34.08</v>
      </c>
      <c r="D16" s="105"/>
      <c r="E16" s="60"/>
      <c r="F16" s="534"/>
      <c r="G16" s="534"/>
      <c r="H16" s="534"/>
      <c r="I16" s="534"/>
      <c r="J16" s="534"/>
      <c r="K16" s="534"/>
    </row>
    <row r="17" spans="1:11" ht="35.1" customHeight="1">
      <c r="A17" s="882"/>
      <c r="B17" s="1044">
        <v>4</v>
      </c>
      <c r="C17" s="1280">
        <v>25</v>
      </c>
      <c r="D17" s="105"/>
      <c r="E17" s="60"/>
      <c r="F17" s="534"/>
      <c r="G17" s="1781" t="s">
        <v>264</v>
      </c>
      <c r="H17" s="1782"/>
      <c r="I17" s="1783"/>
      <c r="J17" s="671" t="str">
        <f>IF(AND($C$18&gt;0,$C$12=0),Intake_missing,IF(AND($C$12&gt;0,$C$18=0),Only_intake_recorded,"OK"))</f>
        <v>OK</v>
      </c>
      <c r="K17" s="534"/>
    </row>
    <row r="18" spans="1:11" ht="35.1" customHeight="1" thickBot="1">
      <c r="A18" s="882"/>
      <c r="B18" s="1069" t="s">
        <v>2</v>
      </c>
      <c r="C18" s="1281">
        <f>SUM(C14:C17)</f>
        <v>147.05000000000001</v>
      </c>
      <c r="D18" s="105"/>
      <c r="E18" s="60"/>
      <c r="F18" s="534"/>
      <c r="G18" s="1784" t="s">
        <v>228</v>
      </c>
      <c r="H18" s="1785"/>
      <c r="I18" s="1786"/>
      <c r="J18" s="672" t="str">
        <f>IF(OR($C$12&gt;$C$18,AND($C$12=$C$18,SUM($C$15:$C$17)&gt;0)),Intake_inconsistent,"OK")</f>
        <v>OK</v>
      </c>
      <c r="K18" s="534"/>
    </row>
    <row r="19" spans="1:11" ht="24.95" customHeight="1">
      <c r="A19" s="907"/>
      <c r="B19" s="208"/>
      <c r="C19" s="208"/>
      <c r="D19" s="209"/>
      <c r="E19" s="210"/>
      <c r="F19" s="534"/>
      <c r="G19" s="534"/>
      <c r="H19" s="534"/>
      <c r="I19" s="534"/>
      <c r="J19" s="534"/>
      <c r="K19" s="534"/>
    </row>
    <row r="20" spans="1:11" s="1419" customFormat="1" ht="12" customHeight="1">
      <c r="B20" s="1420"/>
    </row>
    <row r="21" spans="1:11">
      <c r="D21" s="1418"/>
      <c r="E21" s="1418"/>
      <c r="F21" s="1418"/>
      <c r="G21" s="1418"/>
      <c r="H21" s="1418"/>
    </row>
    <row r="22" spans="1:11">
      <c r="D22" s="1418"/>
      <c r="E22" s="1418"/>
      <c r="F22" s="1418"/>
    </row>
    <row r="23" spans="1:11">
      <c r="D23" s="1418"/>
      <c r="E23" s="1418"/>
      <c r="F23" s="1418"/>
    </row>
    <row r="28" spans="1:11" ht="12.75" customHeight="1"/>
  </sheetData>
  <sheetProtection password="E23E" sheet="1" objects="1" scenarios="1"/>
  <mergeCells count="7">
    <mergeCell ref="C4:D4"/>
    <mergeCell ref="H10:H11"/>
    <mergeCell ref="G17:I17"/>
    <mergeCell ref="G18:I18"/>
    <mergeCell ref="B9:B10"/>
    <mergeCell ref="I10:J10"/>
    <mergeCell ref="I12:J12"/>
  </mergeCells>
  <conditionalFormatting sqref="B2">
    <cfRule type="expression" dxfId="31" priority="6" stopIfTrue="1">
      <formula>#REF!=0</formula>
    </cfRule>
  </conditionalFormatting>
  <conditionalFormatting sqref="A1:E1">
    <cfRule type="expression" dxfId="30" priority="94" stopIfTrue="1">
      <formula>$E$4=0</formula>
    </cfRule>
  </conditionalFormatting>
  <conditionalFormatting sqref="C12 C14:C17">
    <cfRule type="expression" dxfId="29" priority="96" stopIfTrue="1">
      <formula>$E$4=0</formula>
    </cfRule>
  </conditionalFormatting>
  <conditionalFormatting sqref="J17:J18">
    <cfRule type="expression" dxfId="28" priority="2">
      <formula>$E$4=0</formula>
    </cfRule>
  </conditionalFormatting>
  <conditionalFormatting sqref="G12:J12">
    <cfRule type="expression" dxfId="27" priority="1">
      <formula>$E$4=0</formula>
    </cfRule>
  </conditionalFormatting>
  <dataValidations count="1">
    <dataValidation type="custom" allowBlank="1" showErrorMessage="1" errorTitle="Number less than 0" error="You are trying to enter a number which is less than 0, please re-enter a valid number." sqref="C12:C17">
      <formula1>C12&gt;=0</formula1>
    </dataValidation>
  </dataValidations>
  <printOptions horizontalCentered="1" verticalCentered="1"/>
  <pageMargins left="0.19685039370078741" right="0.19685039370078741" top="0.19685039370078741" bottom="0.23622047244094491" header="0.15748031496062992" footer="0.1574803149606299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Contents</vt:lpstr>
      <vt:lpstr>Table 1 (Main)</vt:lpstr>
      <vt:lpstr>Table 2a (ITE)</vt:lpstr>
      <vt:lpstr>Table 2b (TQFE)</vt:lpstr>
      <vt:lpstr>Table 2c (Catholic ITE)</vt:lpstr>
      <vt:lpstr>Table 2d PGDE Subjects</vt:lpstr>
      <vt:lpstr>Table 3 (Med, Dent)</vt:lpstr>
      <vt:lpstr>Table 4a (Cont Nre and Mid)</vt:lpstr>
      <vt:lpstr>Table 4b (Cont 4 Year Nurse)</vt:lpstr>
      <vt:lpstr>Table 5a (Widen Access FPs)</vt:lpstr>
      <vt:lpstr>Table 5b (Artic FPs)</vt:lpstr>
      <vt:lpstr>Table 5c (UG Skills FPs)</vt:lpstr>
      <vt:lpstr>Table 5d (TPG FPs)</vt:lpstr>
      <vt:lpstr>Table 5e (Other Add FPs)</vt:lpstr>
      <vt:lpstr>Monitoring</vt:lpstr>
      <vt:lpstr>Background</vt:lpstr>
      <vt:lpstr>Consol_Tol_FTE</vt:lpstr>
      <vt:lpstr>Consol_Tol_Per</vt:lpstr>
      <vt:lpstr>Controlled_Tol</vt:lpstr>
      <vt:lpstr>Early_Stats_Last_Year</vt:lpstr>
      <vt:lpstr>Final_Figures_Last_Year</vt:lpstr>
      <vt:lpstr>Inst_FPs</vt:lpstr>
      <vt:lpstr>Inst_Tables</vt:lpstr>
      <vt:lpstr>Intake_inconsistent</vt:lpstr>
      <vt:lpstr>Intake_missing</vt:lpstr>
      <vt:lpstr>'Table 2a (ITE)'!Intake_too_high</vt:lpstr>
      <vt:lpstr>Non_controlled_Tol</vt:lpstr>
      <vt:lpstr>Only_intake_recorded</vt:lpstr>
      <vt:lpstr>Background!Print_Area</vt:lpstr>
      <vt:lpstr>Contents!Print_Area</vt:lpstr>
      <vt:lpstr>Monitoring!Print_Area</vt:lpstr>
      <vt:lpstr>'Table 1 (Main)'!Print_Area</vt:lpstr>
      <vt:lpstr>'Table 2a (ITE)'!Print_Area</vt:lpstr>
      <vt:lpstr>'Table 2b (TQFE)'!Print_Area</vt:lpstr>
      <vt:lpstr>'Table 2c (Catholic ITE)'!Print_Area</vt:lpstr>
      <vt:lpstr>'Table 2d PGDE Subjects'!Print_Area</vt:lpstr>
      <vt:lpstr>'Table 3 (Med, Dent)'!Print_Area</vt:lpstr>
      <vt:lpstr>'Table 4a (Cont Nre and Mid)'!Print_Area</vt:lpstr>
      <vt:lpstr>'Table 4b (Cont 4 Year Nurse)'!Print_Area</vt:lpstr>
      <vt:lpstr>'Table 5a (Widen Access FPs)'!Print_Area</vt:lpstr>
      <vt:lpstr>'Table 5b (Artic FPs)'!Print_Area</vt:lpstr>
      <vt:lpstr>'Table 5c (UG Skills FPs)'!Print_Area</vt:lpstr>
      <vt:lpstr>'Table 5d (TPG FPs)'!Print_Area</vt:lpstr>
      <vt:lpstr>'Table 5e (Other Add FPs)'!Print_Area</vt:lpstr>
      <vt:lpstr>Background!Print_Titles</vt:lpstr>
      <vt:lpstr>Monitoring!Print_Titles</vt:lpstr>
      <vt:lpstr>'Table 1 (Main)'!Print_Titles</vt:lpstr>
      <vt:lpstr>'Table 5e (Other Add FPs)'!Print_Titles</vt:lpstr>
    </vt:vector>
  </TitlesOfParts>
  <Company>Scottish Funding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McCleary</dc:creator>
  <cp:lastModifiedBy>Jacqueline Jack</cp:lastModifiedBy>
  <cp:lastPrinted>2015-12-08T09:56:22Z</cp:lastPrinted>
  <dcterms:created xsi:type="dcterms:W3CDTF">2004-10-22T07:49:06Z</dcterms:created>
  <dcterms:modified xsi:type="dcterms:W3CDTF">2016-01-05T10:41:03Z</dcterms:modified>
</cp:coreProperties>
</file>