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0" yWindow="4050" windowWidth="15480" windowHeight="6060" activeTab="1"/>
  </bookViews>
  <sheets>
    <sheet name="Contents" sheetId="47" r:id="rId1"/>
    <sheet name="Table 1 (Main)" sheetId="34" r:id="rId2"/>
    <sheet name="Table 2a (ITE)" sheetId="39" r:id="rId3"/>
    <sheet name="Table 2b (TQFE)" sheetId="13" r:id="rId4"/>
    <sheet name="Table 2c (Catholic ITE)" sheetId="14" r:id="rId5"/>
    <sheet name="Table 2d PGDE Subjects" sheetId="46" r:id="rId6"/>
    <sheet name="Table 3 (Med, Dent)" sheetId="15" r:id="rId7"/>
    <sheet name="Table 4a (Cont Nre and Mid)" sheetId="48" r:id="rId8"/>
    <sheet name="Table 4b (Cont 4 Year Nurse)" sheetId="41" r:id="rId9"/>
    <sheet name="Table 5a (Widen Access FPs)" sheetId="40" r:id="rId10"/>
    <sheet name="Table 5b (Artic FPs)" sheetId="42" r:id="rId11"/>
    <sheet name="Table 5c (UG Skills FPs)" sheetId="43" r:id="rId12"/>
    <sheet name="Table 5d (TPG FPs)" sheetId="44" r:id="rId13"/>
    <sheet name="Table 5e (Other Add FPs)" sheetId="45" r:id="rId14"/>
    <sheet name="Monitoring" sheetId="36" r:id="rId15"/>
    <sheet name="Background" sheetId="38" state="hidden" r:id="rId16"/>
  </sheets>
  <definedNames>
    <definedName name="Consol_Tol_FTE">Monitoring!$C$64</definedName>
    <definedName name="Consol_Tol_Per">Monitoring!$C$63</definedName>
    <definedName name="Controlled_Tol">Monitoring!$C$61</definedName>
    <definedName name="Early_Stats_Last_Year">Background!$A$72:$AR$101</definedName>
    <definedName name="Final_Figures_Last_Year">Background!$A$113:$AR$142</definedName>
    <definedName name="HTML_CodePage" hidden="1">1252</definedName>
    <definedName name="HTML_Control" hidden="1">{"'Page1'!$E$11:$AJ$51","'Page1'!$A$1"}</definedName>
    <definedName name="HTML_Description" hidden="1">""</definedName>
    <definedName name="HTML_Email" hidden="1">""</definedName>
    <definedName name="HTML_Header" hidden="1">"Page1"</definedName>
    <definedName name="HTML_LastUpdate" hidden="1">"07/10/1999"</definedName>
    <definedName name="HTML_LineAfter" hidden="1">TRUE</definedName>
    <definedName name="HTML_LineBefore" hidden="1">TRUE</definedName>
    <definedName name="HTML_Name" hidden="1">"ISU"</definedName>
    <definedName name="HTML_OBDlg2" hidden="1">TRUE</definedName>
    <definedName name="HTML_OBDlg4" hidden="1">TRUE</definedName>
    <definedName name="HTML_OS" hidden="1">0</definedName>
    <definedName name="HTML_PathFile" hidden="1">"c:\windows\desktop\MyHTML.htm"</definedName>
    <definedName name="HTML_Title" hidden="1">"CONVFACT"</definedName>
    <definedName name="Inst_FPs">Background!$A$13:$BA$31</definedName>
    <definedName name="Inst_Tables">Background!$A$42:$P$61</definedName>
    <definedName name="Intake_inconsistent">'Table 2a (ITE)'!$AE$11</definedName>
    <definedName name="Intake_missing">'Table 2a (ITE)'!$AE$12</definedName>
    <definedName name="Intake_too_high" localSheetId="2">'Table 2a (ITE)'!$AE$11</definedName>
    <definedName name="Non_controlled_Tol">Monitoring!$C$62</definedName>
    <definedName name="Only_intake_recorded">'Table 2a (ITE)'!$AE$14</definedName>
    <definedName name="_xlnm.Print_Area" localSheetId="15">Background!$A$9:$BA$32,Background!$A$40:$P$61,Background!$A$68:$BA$101</definedName>
    <definedName name="_xlnm.Print_Area" localSheetId="0">Contents!$A$1:$E$22</definedName>
    <definedName name="_xlnm.Print_Area" localSheetId="14">Monitoring!$B$1:$J$58</definedName>
    <definedName name="_xlnm.Print_Area" localSheetId="1">'Table 1 (Main)'!$A$1:$AL$50</definedName>
    <definedName name="_xlnm.Print_Area" localSheetId="2">'Table 2a (ITE)'!$A$2:$M$33</definedName>
    <definedName name="_xlnm.Print_Area" localSheetId="3">'Table 2b (TQFE)'!$A$2:$Q$15</definedName>
    <definedName name="_xlnm.Print_Area" localSheetId="4">'Table 2c (Catholic ITE)'!$A$2:$F$16</definedName>
    <definedName name="_xlnm.Print_Area" localSheetId="5">'Table 2d PGDE Subjects'!$B$2:$Z$33</definedName>
    <definedName name="_xlnm.Print_Area" localSheetId="6">'Table 3 (Med, Dent)'!$A$2:$Q$40</definedName>
    <definedName name="_xlnm.Print_Area" localSheetId="7">'Table 4a (Cont Nre and Mid)'!$A$2:$H$47</definedName>
    <definedName name="_xlnm.Print_Area" localSheetId="8">'Table 4b (Cont 4 Year Nurse)'!$A$2:$E$19</definedName>
    <definedName name="_xlnm.Print_Area" localSheetId="9">'Table 5a (Widen Access FPs)'!$A$2:$E$15</definedName>
    <definedName name="_xlnm.Print_Area" localSheetId="10">'Table 5b (Artic FPs)'!$A$2:$F$29</definedName>
    <definedName name="_xlnm.Print_Area" localSheetId="11">'Table 5c (UG Skills FPs)'!$A$2:$D$33</definedName>
    <definedName name="_xlnm.Print_Area" localSheetId="12">'Table 5d (TPG FPs)'!$A$2:$D$48</definedName>
    <definedName name="_xlnm.Print_Area" localSheetId="13">'Table 5e (Other Add FPs)'!$A$2:$G$46</definedName>
    <definedName name="_xlnm.Print_Titles" localSheetId="15">Background!$A:$B</definedName>
    <definedName name="_xlnm.Print_Titles" localSheetId="14">Monitoring!$1:$3</definedName>
    <definedName name="_xlnm.Print_Titles" localSheetId="1">'Table 1 (Main)'!$A:$B</definedName>
    <definedName name="_xlnm.Print_Titles" localSheetId="13">'Table 5e (Other Add FPs)'!$2:$7</definedName>
  </definedNames>
  <calcPr calcId="145621"/>
</workbook>
</file>

<file path=xl/calcChain.xml><?xml version="1.0" encoding="utf-8"?>
<calcChain xmlns="http://schemas.openxmlformats.org/spreadsheetml/2006/main">
  <c r="C43" i="44" l="1"/>
  <c r="K36" i="48" l="1"/>
  <c r="J36" i="48"/>
  <c r="K31" i="48"/>
  <c r="J31" i="48"/>
  <c r="K26" i="48"/>
  <c r="J26" i="48"/>
  <c r="K21" i="48"/>
  <c r="J21" i="48"/>
  <c r="K16" i="48"/>
  <c r="J16" i="48"/>
  <c r="D46" i="48"/>
  <c r="C46" i="48"/>
  <c r="C45" i="48"/>
  <c r="C38" i="48"/>
  <c r="C37" i="48"/>
  <c r="C33" i="48"/>
  <c r="C28" i="48"/>
  <c r="C23" i="48"/>
  <c r="C18" i="48"/>
  <c r="M45" i="48"/>
  <c r="F45" i="48"/>
  <c r="E45" i="48"/>
  <c r="D45" i="48"/>
  <c r="G45" i="48" s="1"/>
  <c r="N45" i="48" s="1"/>
  <c r="O45" i="48" s="1"/>
  <c r="G44" i="48"/>
  <c r="T44" i="48" s="1"/>
  <c r="T43" i="48"/>
  <c r="R43" i="48"/>
  <c r="G43" i="48"/>
  <c r="U43" i="48" s="1"/>
  <c r="G42" i="48"/>
  <c r="T42" i="48" s="1"/>
  <c r="T41" i="48"/>
  <c r="R41" i="48"/>
  <c r="G41" i="48"/>
  <c r="U41" i="48" s="1"/>
  <c r="G40" i="48"/>
  <c r="T40" i="48" s="1"/>
  <c r="M38" i="48"/>
  <c r="F37" i="48"/>
  <c r="E37" i="48"/>
  <c r="D37" i="48"/>
  <c r="G37" i="48" s="1"/>
  <c r="G36" i="48"/>
  <c r="T35" i="48"/>
  <c r="R35" i="48"/>
  <c r="G35" i="48"/>
  <c r="U35" i="48" s="1"/>
  <c r="F33" i="48"/>
  <c r="E33" i="48"/>
  <c r="G33" i="48" s="1"/>
  <c r="D33" i="48"/>
  <c r="T32" i="48"/>
  <c r="R32" i="48"/>
  <c r="G32" i="48"/>
  <c r="U32" i="48" s="1"/>
  <c r="G31" i="48"/>
  <c r="T30" i="48"/>
  <c r="R30" i="48"/>
  <c r="G30" i="48"/>
  <c r="U30" i="48" s="1"/>
  <c r="F28" i="48"/>
  <c r="E28" i="48"/>
  <c r="G28" i="48" s="1"/>
  <c r="D28" i="48"/>
  <c r="T27" i="48"/>
  <c r="R27" i="48"/>
  <c r="G27" i="48"/>
  <c r="U27" i="48" s="1"/>
  <c r="G26" i="48"/>
  <c r="T25" i="48"/>
  <c r="R25" i="48"/>
  <c r="G25" i="48"/>
  <c r="U25" i="48" s="1"/>
  <c r="F23" i="48"/>
  <c r="E23" i="48"/>
  <c r="G23" i="48" s="1"/>
  <c r="D23" i="48"/>
  <c r="T22" i="48"/>
  <c r="R22" i="48"/>
  <c r="G22" i="48"/>
  <c r="U22" i="48" s="1"/>
  <c r="G21" i="48"/>
  <c r="T20" i="48"/>
  <c r="R20" i="48"/>
  <c r="G20" i="48"/>
  <c r="U20" i="48" s="1"/>
  <c r="F18" i="48"/>
  <c r="F38" i="48" s="1"/>
  <c r="F46" i="48" s="1"/>
  <c r="E18" i="48"/>
  <c r="E38" i="48" s="1"/>
  <c r="E46" i="48" s="1"/>
  <c r="D18" i="48"/>
  <c r="D38" i="48" s="1"/>
  <c r="T17" i="48"/>
  <c r="R17" i="48"/>
  <c r="G17" i="48"/>
  <c r="U17" i="48" s="1"/>
  <c r="G16" i="48"/>
  <c r="T15" i="48"/>
  <c r="R15" i="48"/>
  <c r="G15" i="48"/>
  <c r="U15" i="48" s="1"/>
  <c r="F4" i="48"/>
  <c r="B1" i="48" s="1"/>
  <c r="C37" i="36"/>
  <c r="C4" i="44"/>
  <c r="C4" i="43"/>
  <c r="C4" i="42"/>
  <c r="B1" i="42" s="1"/>
  <c r="C4" i="40"/>
  <c r="B1" i="40" s="1"/>
  <c r="E23" i="42"/>
  <c r="E14" i="42"/>
  <c r="D24" i="42"/>
  <c r="C24" i="42"/>
  <c r="E24" i="42" s="1"/>
  <c r="K30" i="48" l="1"/>
  <c r="K32" i="48"/>
  <c r="K20" i="48"/>
  <c r="K22" i="48"/>
  <c r="K15" i="48"/>
  <c r="K17" i="48"/>
  <c r="G46" i="48"/>
  <c r="G38" i="48"/>
  <c r="N38" i="48" s="1"/>
  <c r="O38" i="48" s="1"/>
  <c r="K25" i="48"/>
  <c r="K27" i="48"/>
  <c r="K35" i="48"/>
  <c r="K41" i="48"/>
  <c r="K43" i="48"/>
  <c r="G18" i="48"/>
  <c r="S40" i="48"/>
  <c r="U40" i="48"/>
  <c r="K40" i="48" s="1"/>
  <c r="S42" i="48"/>
  <c r="U42" i="48"/>
  <c r="K42" i="48" s="1"/>
  <c r="S44" i="48"/>
  <c r="U44" i="48"/>
  <c r="K44" i="48" s="1"/>
  <c r="S15" i="48"/>
  <c r="J15" i="48" s="1"/>
  <c r="S17" i="48"/>
  <c r="J17" i="48" s="1"/>
  <c r="S20" i="48"/>
  <c r="J20" i="48" s="1"/>
  <c r="S22" i="48"/>
  <c r="J22" i="48" s="1"/>
  <c r="S25" i="48"/>
  <c r="J25" i="48" s="1"/>
  <c r="S27" i="48"/>
  <c r="J27" i="48" s="1"/>
  <c r="S30" i="48"/>
  <c r="J30" i="48" s="1"/>
  <c r="S32" i="48"/>
  <c r="J32" i="48" s="1"/>
  <c r="S35" i="48"/>
  <c r="J35" i="48" s="1"/>
  <c r="R40" i="48"/>
  <c r="J40" i="48" s="1"/>
  <c r="S41" i="48"/>
  <c r="J41" i="48" s="1"/>
  <c r="R42" i="48"/>
  <c r="J42" i="48" s="1"/>
  <c r="S43" i="48"/>
  <c r="J43" i="48" s="1"/>
  <c r="R44" i="48"/>
  <c r="J44" i="48" s="1"/>
  <c r="E15" i="47"/>
  <c r="D15" i="47" s="1"/>
  <c r="E14" i="47"/>
  <c r="D14" i="47" s="1"/>
  <c r="E13" i="47"/>
  <c r="D13" i="47" s="1"/>
  <c r="E11" i="47"/>
  <c r="D11" i="47" s="1"/>
  <c r="E10" i="47"/>
  <c r="D10" i="47" s="1"/>
  <c r="E9" i="47"/>
  <c r="D9" i="47" s="1"/>
  <c r="W15" i="46"/>
  <c r="X15" i="46" s="1"/>
  <c r="W31" i="46"/>
  <c r="X31" i="46" s="1"/>
  <c r="W30" i="46"/>
  <c r="X30" i="46" s="1"/>
  <c r="W29" i="46"/>
  <c r="X29" i="46" s="1"/>
  <c r="W28" i="46"/>
  <c r="X28" i="46" s="1"/>
  <c r="W27" i="46"/>
  <c r="X27" i="46" s="1"/>
  <c r="W26" i="46"/>
  <c r="X26" i="46" s="1"/>
  <c r="W25" i="46"/>
  <c r="X25" i="46" s="1"/>
  <c r="W24" i="46"/>
  <c r="X24" i="46" s="1"/>
  <c r="W23" i="46"/>
  <c r="X23" i="46" s="1"/>
  <c r="W22" i="46"/>
  <c r="X22" i="46" s="1"/>
  <c r="W21" i="46"/>
  <c r="X21" i="46" s="1"/>
  <c r="W20" i="46"/>
  <c r="X20" i="46" s="1"/>
  <c r="W19" i="46"/>
  <c r="X19" i="46" s="1"/>
  <c r="W18" i="46"/>
  <c r="X18" i="46" s="1"/>
  <c r="W17" i="46"/>
  <c r="X17" i="46" s="1"/>
  <c r="W16" i="46"/>
  <c r="X16" i="46" s="1"/>
  <c r="W14" i="46"/>
  <c r="X14" i="46" s="1"/>
  <c r="W13" i="46"/>
  <c r="X13" i="46" s="1"/>
  <c r="V32" i="46"/>
  <c r="U32" i="46"/>
  <c r="Y30" i="46" s="1"/>
  <c r="T32" i="46"/>
  <c r="S32" i="46"/>
  <c r="Y28" i="46" s="1"/>
  <c r="R32" i="46"/>
  <c r="Q32" i="46"/>
  <c r="Y26" i="46" s="1"/>
  <c r="P32" i="46"/>
  <c r="O32" i="46"/>
  <c r="Y24" i="46" s="1"/>
  <c r="N32" i="46"/>
  <c r="M32" i="46"/>
  <c r="L32" i="46"/>
  <c r="K32" i="46"/>
  <c r="J32" i="46"/>
  <c r="I32" i="46"/>
  <c r="H32" i="46"/>
  <c r="G32" i="46"/>
  <c r="F32" i="46"/>
  <c r="E32" i="46"/>
  <c r="D32" i="46"/>
  <c r="C32" i="46"/>
  <c r="Y13" i="46" l="1"/>
  <c r="Y31" i="46"/>
  <c r="Y18" i="46"/>
  <c r="Y20" i="46"/>
  <c r="Y22" i="46"/>
  <c r="Y17" i="46"/>
  <c r="Y19" i="46"/>
  <c r="Y21" i="46"/>
  <c r="Y23" i="46"/>
  <c r="Y27" i="46"/>
  <c r="Y29" i="46"/>
  <c r="Y15" i="46"/>
  <c r="Y16" i="46"/>
  <c r="Y14" i="46"/>
  <c r="Y25" i="46"/>
  <c r="X32" i="46"/>
  <c r="W32" i="46"/>
  <c r="G4" i="13"/>
  <c r="B1" i="13" s="1"/>
  <c r="E4" i="41"/>
  <c r="F4" i="15"/>
  <c r="F60" i="38" l="1"/>
  <c r="F59" i="38"/>
  <c r="F58" i="38"/>
  <c r="F57" i="38"/>
  <c r="F56" i="38"/>
  <c r="F55" i="38"/>
  <c r="F54" i="38"/>
  <c r="F53" i="38"/>
  <c r="F52" i="38"/>
  <c r="F51" i="38"/>
  <c r="F50" i="38"/>
  <c r="F49" i="38"/>
  <c r="F48" i="38"/>
  <c r="F47" i="38"/>
  <c r="F46" i="38"/>
  <c r="F45" i="38"/>
  <c r="F44" i="38"/>
  <c r="F43" i="38"/>
  <c r="F42" i="38"/>
  <c r="E12" i="47" l="1"/>
  <c r="D12" i="47" s="1"/>
  <c r="G4" i="46"/>
  <c r="B1" i="46" s="1"/>
  <c r="D10" i="40"/>
  <c r="E25" i="42"/>
  <c r="G26" i="42" s="1"/>
  <c r="E22" i="42"/>
  <c r="E21" i="42"/>
  <c r="E20" i="42"/>
  <c r="E19" i="42"/>
  <c r="E18" i="42"/>
  <c r="E17" i="42"/>
  <c r="E16" i="42"/>
  <c r="E15" i="42"/>
  <c r="C29" i="43"/>
  <c r="C28" i="43"/>
  <c r="E30" i="43" l="1"/>
  <c r="E26" i="42"/>
  <c r="D12" i="40"/>
  <c r="F12" i="40"/>
  <c r="C30" i="43"/>
  <c r="F42" i="45"/>
  <c r="N36" i="15" l="1"/>
  <c r="N38" i="15" s="1"/>
  <c r="L34" i="15"/>
  <c r="G36" i="15"/>
  <c r="G38" i="15" s="1"/>
  <c r="F37" i="15"/>
  <c r="F34" i="15"/>
  <c r="C36" i="15"/>
  <c r="C38" i="15" s="1"/>
  <c r="P23" i="15"/>
  <c r="C23" i="15"/>
  <c r="C18" i="15"/>
  <c r="K36" i="15"/>
  <c r="K38" i="15" s="1"/>
  <c r="J36" i="15"/>
  <c r="J38" i="15" s="1"/>
  <c r="I36" i="15"/>
  <c r="I38" i="15" s="1"/>
  <c r="H36" i="15"/>
  <c r="H38" i="15" s="1"/>
  <c r="E36" i="15"/>
  <c r="E38" i="15" s="1"/>
  <c r="D36" i="15"/>
  <c r="D38" i="15" s="1"/>
  <c r="P18" i="15"/>
  <c r="M18" i="15"/>
  <c r="L18" i="15"/>
  <c r="K18" i="15"/>
  <c r="J18" i="15"/>
  <c r="H18" i="15"/>
  <c r="G18" i="15"/>
  <c r="F18" i="15"/>
  <c r="E18" i="15"/>
  <c r="D18" i="15"/>
  <c r="I16" i="15"/>
  <c r="M34" i="15" l="1"/>
  <c r="P24" i="15"/>
  <c r="C24" i="15"/>
  <c r="C18" i="41"/>
  <c r="J17" i="41" s="1"/>
  <c r="B1" i="41"/>
  <c r="C58" i="36"/>
  <c r="C56" i="36"/>
  <c r="C54" i="36"/>
  <c r="C53" i="36"/>
  <c r="C51" i="36"/>
  <c r="C49" i="36"/>
  <c r="D26" i="36"/>
  <c r="D24" i="36"/>
  <c r="D23" i="36"/>
  <c r="D19" i="36"/>
  <c r="D15" i="36"/>
  <c r="D14" i="36"/>
  <c r="C27" i="36"/>
  <c r="E27" i="36" s="1"/>
  <c r="C24" i="36"/>
  <c r="C23" i="36"/>
  <c r="C22" i="36"/>
  <c r="C21" i="36"/>
  <c r="C20" i="36"/>
  <c r="C19" i="36"/>
  <c r="C17" i="36"/>
  <c r="C16" i="36"/>
  <c r="C15" i="36"/>
  <c r="C14" i="36"/>
  <c r="BA32" i="38"/>
  <c r="AZ32" i="38"/>
  <c r="AY32" i="38"/>
  <c r="AX32" i="38"/>
  <c r="AW32" i="38"/>
  <c r="AV32" i="38"/>
  <c r="AT32" i="38"/>
  <c r="AS32" i="38"/>
  <c r="AR32" i="38"/>
  <c r="AQ32" i="38"/>
  <c r="AP32" i="38"/>
  <c r="AO32" i="38"/>
  <c r="AU33" i="38"/>
  <c r="AU14" i="38"/>
  <c r="AU15" i="38"/>
  <c r="AU16" i="38"/>
  <c r="AU17" i="38"/>
  <c r="AU18" i="38"/>
  <c r="AU19" i="38"/>
  <c r="AU20" i="38"/>
  <c r="AU21" i="38"/>
  <c r="AU22" i="38"/>
  <c r="AU23" i="38"/>
  <c r="AU24" i="38"/>
  <c r="AU25" i="38"/>
  <c r="AU26" i="38"/>
  <c r="AU27" i="38"/>
  <c r="AU28" i="38"/>
  <c r="AU29" i="38"/>
  <c r="AU30" i="38"/>
  <c r="AU31" i="38"/>
  <c r="AU13" i="38"/>
  <c r="AN32" i="38"/>
  <c r="AM32" i="38"/>
  <c r="AL32" i="38"/>
  <c r="AK32" i="38"/>
  <c r="AJ32" i="38"/>
  <c r="AI32" i="38"/>
  <c r="AH32" i="38"/>
  <c r="AG32" i="38"/>
  <c r="AF32" i="38"/>
  <c r="AE32" i="38"/>
  <c r="AD32" i="38"/>
  <c r="AC32" i="38"/>
  <c r="AB32" i="38"/>
  <c r="T33" i="38"/>
  <c r="U33" i="38"/>
  <c r="V33" i="38"/>
  <c r="W33" i="38"/>
  <c r="X33" i="38"/>
  <c r="Y33" i="38"/>
  <c r="Z33" i="38"/>
  <c r="S33" i="38"/>
  <c r="Z31" i="38"/>
  <c r="Y31" i="38"/>
  <c r="X31" i="38"/>
  <c r="W31" i="38"/>
  <c r="V31" i="38"/>
  <c r="M60" i="38" s="1"/>
  <c r="U31" i="38"/>
  <c r="L60" i="38" s="1"/>
  <c r="T31" i="38"/>
  <c r="K60" i="38" s="1"/>
  <c r="Z30" i="38"/>
  <c r="Y30" i="38"/>
  <c r="X30" i="38"/>
  <c r="W30" i="38"/>
  <c r="V30" i="38"/>
  <c r="M59" i="38" s="1"/>
  <c r="U30" i="38"/>
  <c r="L59" i="38" s="1"/>
  <c r="T30" i="38"/>
  <c r="K59" i="38" s="1"/>
  <c r="Z29" i="38"/>
  <c r="Y29" i="38"/>
  <c r="X29" i="38"/>
  <c r="W29" i="38"/>
  <c r="V29" i="38"/>
  <c r="M58" i="38" s="1"/>
  <c r="U29" i="38"/>
  <c r="L58" i="38" s="1"/>
  <c r="T29" i="38"/>
  <c r="K58" i="38" s="1"/>
  <c r="Z28" i="38"/>
  <c r="Y28" i="38"/>
  <c r="X28" i="38"/>
  <c r="W28" i="38"/>
  <c r="V28" i="38"/>
  <c r="M57" i="38" s="1"/>
  <c r="U28" i="38"/>
  <c r="L57" i="38" s="1"/>
  <c r="T28" i="38"/>
  <c r="K57" i="38" s="1"/>
  <c r="Z27" i="38"/>
  <c r="Y27" i="38"/>
  <c r="X27" i="38"/>
  <c r="W27" i="38"/>
  <c r="V27" i="38"/>
  <c r="M56" i="38" s="1"/>
  <c r="U27" i="38"/>
  <c r="L56" i="38" s="1"/>
  <c r="T27" i="38"/>
  <c r="K56" i="38" s="1"/>
  <c r="Z26" i="38"/>
  <c r="Y26" i="38"/>
  <c r="X26" i="38"/>
  <c r="W26" i="38"/>
  <c r="V26" i="38"/>
  <c r="M55" i="38" s="1"/>
  <c r="U26" i="38"/>
  <c r="L55" i="38" s="1"/>
  <c r="T26" i="38"/>
  <c r="K55" i="38" s="1"/>
  <c r="Z25" i="38"/>
  <c r="Y25" i="38"/>
  <c r="X25" i="38"/>
  <c r="W25" i="38"/>
  <c r="V25" i="38"/>
  <c r="M54" i="38" s="1"/>
  <c r="U25" i="38"/>
  <c r="L54" i="38" s="1"/>
  <c r="T25" i="38"/>
  <c r="K54" i="38" s="1"/>
  <c r="Z24" i="38"/>
  <c r="Y24" i="38"/>
  <c r="X24" i="38"/>
  <c r="W24" i="38"/>
  <c r="V24" i="38"/>
  <c r="M53" i="38" s="1"/>
  <c r="U24" i="38"/>
  <c r="L53" i="38" s="1"/>
  <c r="T24" i="38"/>
  <c r="K53" i="38" s="1"/>
  <c r="Z23" i="38"/>
  <c r="Y23" i="38"/>
  <c r="X23" i="38"/>
  <c r="W23" i="38"/>
  <c r="V23" i="38"/>
  <c r="M52" i="38" s="1"/>
  <c r="U23" i="38"/>
  <c r="L52" i="38" s="1"/>
  <c r="T23" i="38"/>
  <c r="K52" i="38" s="1"/>
  <c r="Z22" i="38"/>
  <c r="Y22" i="38"/>
  <c r="X22" i="38"/>
  <c r="W22" i="38"/>
  <c r="V22" i="38"/>
  <c r="U22" i="38"/>
  <c r="L51" i="38" s="1"/>
  <c r="T22" i="38"/>
  <c r="K51" i="38" s="1"/>
  <c r="Z21" i="38"/>
  <c r="Y21" i="38"/>
  <c r="X21" i="38"/>
  <c r="W21" i="38"/>
  <c r="V21" i="38"/>
  <c r="M50" i="38" s="1"/>
  <c r="U21" i="38"/>
  <c r="L50" i="38" s="1"/>
  <c r="T21" i="38"/>
  <c r="K50" i="38" s="1"/>
  <c r="Z20" i="38"/>
  <c r="Y20" i="38"/>
  <c r="X20" i="38"/>
  <c r="W20" i="38"/>
  <c r="V20" i="38"/>
  <c r="M49" i="38" s="1"/>
  <c r="U20" i="38"/>
  <c r="L49" i="38" s="1"/>
  <c r="T20" i="38"/>
  <c r="K49" i="38" s="1"/>
  <c r="Z19" i="38"/>
  <c r="Y19" i="38"/>
  <c r="X19" i="38"/>
  <c r="W19" i="38"/>
  <c r="V19" i="38"/>
  <c r="M48" i="38" s="1"/>
  <c r="U19" i="38"/>
  <c r="L48" i="38" s="1"/>
  <c r="T19" i="38"/>
  <c r="K48" i="38" s="1"/>
  <c r="Z18" i="38"/>
  <c r="Y18" i="38"/>
  <c r="X18" i="38"/>
  <c r="W18" i="38"/>
  <c r="V18" i="38"/>
  <c r="M47" i="38" s="1"/>
  <c r="U18" i="38"/>
  <c r="L47" i="38" s="1"/>
  <c r="T18" i="38"/>
  <c r="K47" i="38" s="1"/>
  <c r="Z17" i="38"/>
  <c r="Y17" i="38"/>
  <c r="X17" i="38"/>
  <c r="W17" i="38"/>
  <c r="V17" i="38"/>
  <c r="M46" i="38" s="1"/>
  <c r="U17" i="38"/>
  <c r="L46" i="38" s="1"/>
  <c r="T17" i="38"/>
  <c r="K46" i="38" s="1"/>
  <c r="Z16" i="38"/>
  <c r="Y16" i="38"/>
  <c r="X16" i="38"/>
  <c r="W16" i="38"/>
  <c r="V16" i="38"/>
  <c r="M45" i="38" s="1"/>
  <c r="U16" i="38"/>
  <c r="L45" i="38" s="1"/>
  <c r="T16" i="38"/>
  <c r="K45" i="38" s="1"/>
  <c r="Z15" i="38"/>
  <c r="Y15" i="38"/>
  <c r="X15" i="38"/>
  <c r="W15" i="38"/>
  <c r="V15" i="38"/>
  <c r="M44" i="38" s="1"/>
  <c r="U15" i="38"/>
  <c r="L44" i="38" s="1"/>
  <c r="T15" i="38"/>
  <c r="K44" i="38" s="1"/>
  <c r="Z14" i="38"/>
  <c r="Y14" i="38"/>
  <c r="X14" i="38"/>
  <c r="W14" i="38"/>
  <c r="V14" i="38"/>
  <c r="M43" i="38" s="1"/>
  <c r="U14" i="38"/>
  <c r="L43" i="38" s="1"/>
  <c r="T14" i="38"/>
  <c r="K43" i="38" s="1"/>
  <c r="Z13" i="38"/>
  <c r="Y13" i="38"/>
  <c r="X13" i="38"/>
  <c r="W13" i="38"/>
  <c r="V13" i="38"/>
  <c r="M42" i="38" s="1"/>
  <c r="U13" i="38"/>
  <c r="L42" i="38" s="1"/>
  <c r="T13" i="38"/>
  <c r="K42" i="38" s="1"/>
  <c r="S14" i="38"/>
  <c r="J43" i="38" s="1"/>
  <c r="S15" i="38"/>
  <c r="J44" i="38" s="1"/>
  <c r="S16" i="38"/>
  <c r="J45" i="38" s="1"/>
  <c r="S17" i="38"/>
  <c r="J46" i="38" s="1"/>
  <c r="S18" i="38"/>
  <c r="J47" i="38" s="1"/>
  <c r="S19" i="38"/>
  <c r="J48" i="38" s="1"/>
  <c r="S20" i="38"/>
  <c r="J49" i="38" s="1"/>
  <c r="S21" i="38"/>
  <c r="J50" i="38" s="1"/>
  <c r="S22" i="38"/>
  <c r="J51" i="38" s="1"/>
  <c r="S23" i="38"/>
  <c r="J52" i="38" s="1"/>
  <c r="S24" i="38"/>
  <c r="J53" i="38" s="1"/>
  <c r="S25" i="38"/>
  <c r="J54" i="38" s="1"/>
  <c r="S26" i="38"/>
  <c r="J55" i="38" s="1"/>
  <c r="S27" i="38"/>
  <c r="J56" i="38" s="1"/>
  <c r="S28" i="38"/>
  <c r="J57" i="38" s="1"/>
  <c r="S29" i="38"/>
  <c r="J58" i="38" s="1"/>
  <c r="S30" i="38"/>
  <c r="J59" i="38" s="1"/>
  <c r="S31" i="38"/>
  <c r="J60" i="38" s="1"/>
  <c r="S13" i="38"/>
  <c r="J42" i="38" s="1"/>
  <c r="K32" i="38"/>
  <c r="L32" i="38"/>
  <c r="M32" i="38"/>
  <c r="N32" i="38"/>
  <c r="O32" i="38"/>
  <c r="P32" i="38"/>
  <c r="Q32" i="38"/>
  <c r="R32" i="38"/>
  <c r="H32" i="38"/>
  <c r="I32" i="38"/>
  <c r="J32" i="38"/>
  <c r="G32" i="38"/>
  <c r="C32" i="38"/>
  <c r="D32" i="38"/>
  <c r="E32" i="38"/>
  <c r="F32" i="38"/>
  <c r="N42" i="38" l="1"/>
  <c r="E4" i="45" s="1"/>
  <c r="N44" i="38"/>
  <c r="N46" i="38"/>
  <c r="N48" i="38"/>
  <c r="N50" i="38"/>
  <c r="N52" i="38"/>
  <c r="N56" i="38"/>
  <c r="N58" i="38"/>
  <c r="N60" i="38"/>
  <c r="N54" i="38"/>
  <c r="E16" i="47"/>
  <c r="D16" i="47" s="1"/>
  <c r="E18" i="47"/>
  <c r="D18" i="47" s="1"/>
  <c r="B1" i="43"/>
  <c r="E20" i="47"/>
  <c r="D20" i="47" s="1"/>
  <c r="C14" i="45"/>
  <c r="H14" i="45" s="1"/>
  <c r="C16" i="45"/>
  <c r="H16" i="45" s="1"/>
  <c r="E17" i="47"/>
  <c r="D17" i="47" s="1"/>
  <c r="E19" i="47"/>
  <c r="D19" i="47" s="1"/>
  <c r="B1" i="44"/>
  <c r="C15" i="45"/>
  <c r="N43" i="38"/>
  <c r="N45" i="38"/>
  <c r="N47" i="38"/>
  <c r="N49" i="38"/>
  <c r="N51" i="38"/>
  <c r="F43" i="45"/>
  <c r="H44" i="45" s="1"/>
  <c r="N53" i="38"/>
  <c r="N55" i="38"/>
  <c r="N57" i="38"/>
  <c r="N59" i="38"/>
  <c r="C44" i="44"/>
  <c r="E37" i="36" s="1"/>
  <c r="M51" i="38"/>
  <c r="E16" i="45"/>
  <c r="J18" i="41"/>
  <c r="U32" i="38"/>
  <c r="AA13" i="38"/>
  <c r="AA30" i="38"/>
  <c r="AA28" i="38"/>
  <c r="AA26" i="38"/>
  <c r="AA24" i="38"/>
  <c r="AA22" i="38"/>
  <c r="AA20" i="38"/>
  <c r="AA18" i="38"/>
  <c r="AA16" i="38"/>
  <c r="AA14" i="38"/>
  <c r="W32" i="38"/>
  <c r="Y32" i="38"/>
  <c r="T32" i="38"/>
  <c r="V32" i="38"/>
  <c r="X32" i="38"/>
  <c r="Z32" i="38"/>
  <c r="AA33" i="38"/>
  <c r="S32" i="38"/>
  <c r="AA31" i="38"/>
  <c r="AA29" i="38"/>
  <c r="AA27" i="38"/>
  <c r="AA25" i="38"/>
  <c r="AA23" i="38"/>
  <c r="AA21" i="38"/>
  <c r="AA19" i="38"/>
  <c r="AA17" i="38"/>
  <c r="AA15" i="38"/>
  <c r="AU32" i="38"/>
  <c r="E14" i="36"/>
  <c r="E15" i="45" l="1"/>
  <c r="H15" i="45"/>
  <c r="C45" i="44"/>
  <c r="E45" i="44"/>
  <c r="E14" i="45"/>
  <c r="B1" i="45"/>
  <c r="F44" i="45"/>
  <c r="AA32" i="38"/>
  <c r="AB118" i="38" l="1"/>
  <c r="AA118" i="38"/>
  <c r="AR141" i="38"/>
  <c r="AQ141" i="38"/>
  <c r="AR142" i="38"/>
  <c r="AQ142" i="38"/>
  <c r="AN141" i="38"/>
  <c r="AM141" i="38"/>
  <c r="AN124" i="38"/>
  <c r="AM124" i="38"/>
  <c r="AN118" i="38"/>
  <c r="AM118" i="38"/>
  <c r="AN142" i="38"/>
  <c r="AM142" i="38"/>
  <c r="AL141" i="38"/>
  <c r="AK141" i="38"/>
  <c r="AL124" i="38"/>
  <c r="AK124" i="38"/>
  <c r="AL118" i="38"/>
  <c r="AK118" i="38"/>
  <c r="AL142" i="38"/>
  <c r="AK142" i="38"/>
  <c r="AJ141" i="38"/>
  <c r="AI141" i="38"/>
  <c r="AJ124" i="38"/>
  <c r="AI124" i="38"/>
  <c r="AJ118" i="38"/>
  <c r="AI118" i="38"/>
  <c r="AJ142" i="38"/>
  <c r="AI142" i="38"/>
  <c r="AH141" i="38"/>
  <c r="AG141" i="38"/>
  <c r="AH124" i="38"/>
  <c r="AG124" i="38"/>
  <c r="AH118" i="38"/>
  <c r="AG118" i="38"/>
  <c r="AH142" i="38"/>
  <c r="AG142" i="38"/>
  <c r="AF141" i="38"/>
  <c r="AE141" i="38"/>
  <c r="AF124" i="38"/>
  <c r="AE124" i="38"/>
  <c r="AF118" i="38"/>
  <c r="AE118" i="38"/>
  <c r="AF142" i="38"/>
  <c r="AE142" i="38"/>
  <c r="AD141" i="38"/>
  <c r="AC141" i="38"/>
  <c r="AD124" i="38"/>
  <c r="AC124" i="38"/>
  <c r="AD118" i="38"/>
  <c r="AC118" i="38"/>
  <c r="AD142" i="38"/>
  <c r="AC142" i="38"/>
  <c r="AB141" i="38"/>
  <c r="AA141" i="38"/>
  <c r="AB124" i="38"/>
  <c r="AA124" i="38"/>
  <c r="Z141" i="38"/>
  <c r="Y141" i="38"/>
  <c r="Z124" i="38"/>
  <c r="Y124" i="38"/>
  <c r="Z118" i="38"/>
  <c r="Y118" i="38"/>
  <c r="Z142" i="38"/>
  <c r="Y142" i="38"/>
  <c r="X142" i="38"/>
  <c r="W142" i="38"/>
  <c r="V141" i="38"/>
  <c r="U141" i="38"/>
  <c r="V124" i="38"/>
  <c r="U124" i="38"/>
  <c r="V118" i="38"/>
  <c r="U118" i="38"/>
  <c r="V142" i="38"/>
  <c r="U142" i="38"/>
  <c r="T141" i="38"/>
  <c r="S141" i="38"/>
  <c r="T124" i="38"/>
  <c r="S124" i="38"/>
  <c r="T118" i="38"/>
  <c r="S118" i="38"/>
  <c r="T142" i="38"/>
  <c r="S142" i="38"/>
  <c r="R141" i="38"/>
  <c r="Q141" i="38"/>
  <c r="R124" i="38"/>
  <c r="Q124" i="38"/>
  <c r="R118" i="38"/>
  <c r="Q118" i="38"/>
  <c r="R142" i="38"/>
  <c r="Q142" i="38"/>
  <c r="P141" i="38"/>
  <c r="O141" i="38"/>
  <c r="P124" i="38"/>
  <c r="O124" i="38"/>
  <c r="P118" i="38"/>
  <c r="O118" i="38"/>
  <c r="P142" i="38"/>
  <c r="O142" i="38"/>
  <c r="N141" i="38"/>
  <c r="M141" i="38"/>
  <c r="N124" i="38"/>
  <c r="M124" i="38"/>
  <c r="N118" i="38"/>
  <c r="M118" i="38"/>
  <c r="N142" i="38"/>
  <c r="M142" i="38"/>
  <c r="L141" i="38"/>
  <c r="K141" i="38"/>
  <c r="L124" i="38"/>
  <c r="K124" i="38"/>
  <c r="L118" i="38"/>
  <c r="K118" i="38"/>
  <c r="L142" i="38"/>
  <c r="K142" i="38"/>
  <c r="J141" i="38"/>
  <c r="I141" i="38"/>
  <c r="J124" i="38"/>
  <c r="I124" i="38"/>
  <c r="J118" i="38"/>
  <c r="I118" i="38"/>
  <c r="J142" i="38"/>
  <c r="I142" i="38"/>
  <c r="H141" i="38"/>
  <c r="G141" i="38"/>
  <c r="H124" i="38"/>
  <c r="G124" i="38"/>
  <c r="H118" i="38"/>
  <c r="G118" i="38"/>
  <c r="H142" i="38"/>
  <c r="G142" i="38"/>
  <c r="F141" i="38"/>
  <c r="E141" i="38"/>
  <c r="F124" i="38"/>
  <c r="E124" i="38"/>
  <c r="F118" i="38"/>
  <c r="E118" i="38"/>
  <c r="E142" i="38" s="1"/>
  <c r="F142" i="38"/>
  <c r="AA142" i="38" l="1"/>
  <c r="AF13" i="34"/>
  <c r="AF16" i="34"/>
  <c r="AF17" i="34"/>
  <c r="AF22" i="34"/>
  <c r="AF23" i="34"/>
  <c r="AF24" i="34"/>
  <c r="AF29" i="34"/>
  <c r="AF30" i="34"/>
  <c r="AF31" i="34"/>
  <c r="AF32" i="34"/>
  <c r="AF34" i="34"/>
  <c r="AF35" i="34"/>
  <c r="AF36" i="34"/>
  <c r="AF37" i="34"/>
  <c r="AF39" i="34"/>
  <c r="AF42" i="34"/>
  <c r="AF43" i="34"/>
  <c r="AG13" i="34"/>
  <c r="AG16" i="34"/>
  <c r="AG17" i="34"/>
  <c r="AG22" i="34"/>
  <c r="AG23" i="34"/>
  <c r="AG24" i="34"/>
  <c r="AG29" i="34"/>
  <c r="AG30" i="34"/>
  <c r="AG31" i="34"/>
  <c r="AG32" i="34"/>
  <c r="AG34" i="34"/>
  <c r="AG35" i="34"/>
  <c r="AG36" i="34"/>
  <c r="AG37" i="34"/>
  <c r="AG39" i="34"/>
  <c r="AG42" i="34"/>
  <c r="AG43" i="34"/>
  <c r="AB142" i="38"/>
  <c r="D118" i="38"/>
  <c r="D124" i="38"/>
  <c r="D141" i="38"/>
  <c r="E14" i="14"/>
  <c r="E13" i="14"/>
  <c r="D15" i="14"/>
  <c r="C15" i="14"/>
  <c r="P14" i="13"/>
  <c r="O14" i="13"/>
  <c r="P13" i="13"/>
  <c r="O13" i="13"/>
  <c r="L29" i="39"/>
  <c r="L28" i="39"/>
  <c r="L27" i="39"/>
  <c r="E25" i="39"/>
  <c r="D25" i="39"/>
  <c r="C25" i="39"/>
  <c r="AB32" i="46" s="1"/>
  <c r="AC32" i="46" s="1"/>
  <c r="AD32" i="46" s="1"/>
  <c r="L24" i="39"/>
  <c r="L23" i="39"/>
  <c r="L20" i="39"/>
  <c r="H18" i="39"/>
  <c r="G18" i="39"/>
  <c r="E18" i="39"/>
  <c r="D18" i="39"/>
  <c r="C18" i="39"/>
  <c r="L16" i="39"/>
  <c r="S23" i="34"/>
  <c r="S22" i="34"/>
  <c r="K44" i="34"/>
  <c r="J44" i="34"/>
  <c r="F44" i="34"/>
  <c r="D44" i="34"/>
  <c r="C44" i="34"/>
  <c r="N43" i="34"/>
  <c r="N42" i="34"/>
  <c r="L43" i="34"/>
  <c r="L42" i="34"/>
  <c r="H43" i="34"/>
  <c r="H42" i="34"/>
  <c r="G43" i="34"/>
  <c r="I43" i="34" s="1"/>
  <c r="G42" i="34"/>
  <c r="I42" i="34" s="1"/>
  <c r="E43" i="34"/>
  <c r="M43" i="34" s="1"/>
  <c r="E42" i="34"/>
  <c r="M42" i="34" s="1"/>
  <c r="O42" i="34" s="1"/>
  <c r="N40" i="34"/>
  <c r="N39" i="34"/>
  <c r="E32" i="34"/>
  <c r="H32" i="34" s="1"/>
  <c r="I32" i="34" s="1"/>
  <c r="D19" i="34"/>
  <c r="H16" i="34"/>
  <c r="E16" i="34"/>
  <c r="M16" i="34" s="1"/>
  <c r="N37" i="34"/>
  <c r="N36" i="34"/>
  <c r="N35" i="34"/>
  <c r="N34" i="34"/>
  <c r="H34" i="34"/>
  <c r="G37" i="34"/>
  <c r="G36" i="34"/>
  <c r="G35" i="34"/>
  <c r="G34" i="34"/>
  <c r="E37" i="34"/>
  <c r="M37" i="34" s="1"/>
  <c r="E36" i="34"/>
  <c r="M36" i="34" s="1"/>
  <c r="E35" i="34"/>
  <c r="M35" i="34" s="1"/>
  <c r="E34" i="34"/>
  <c r="M34" i="34" s="1"/>
  <c r="N32" i="34"/>
  <c r="N31" i="34"/>
  <c r="N30" i="34"/>
  <c r="N29" i="34"/>
  <c r="L32" i="34"/>
  <c r="L31" i="34"/>
  <c r="L30" i="34"/>
  <c r="L29" i="34"/>
  <c r="H29" i="34"/>
  <c r="H31" i="34"/>
  <c r="H30" i="34"/>
  <c r="G31" i="34"/>
  <c r="G30" i="34"/>
  <c r="G29" i="34"/>
  <c r="N24" i="34"/>
  <c r="N23" i="34"/>
  <c r="N22" i="34"/>
  <c r="L24" i="34"/>
  <c r="L23" i="34"/>
  <c r="Q24" i="39" s="1"/>
  <c r="L22" i="34"/>
  <c r="Q17" i="39" s="1"/>
  <c r="K25" i="34"/>
  <c r="J25" i="34"/>
  <c r="G24" i="34"/>
  <c r="G23" i="34"/>
  <c r="G22" i="34"/>
  <c r="F25" i="34"/>
  <c r="D25" i="34"/>
  <c r="C25" i="34"/>
  <c r="E24" i="34"/>
  <c r="E23" i="34"/>
  <c r="E22" i="34"/>
  <c r="N17" i="34"/>
  <c r="N16" i="34"/>
  <c r="L17" i="34"/>
  <c r="L16" i="34"/>
  <c r="K19" i="34"/>
  <c r="J19" i="34"/>
  <c r="F19" i="34"/>
  <c r="C19" i="34"/>
  <c r="H17" i="34"/>
  <c r="G17" i="34"/>
  <c r="G19" i="34" s="1"/>
  <c r="E17" i="34"/>
  <c r="I13" i="34"/>
  <c r="N13" i="34"/>
  <c r="M13" i="34"/>
  <c r="L13" i="34"/>
  <c r="O43" i="34" l="1"/>
  <c r="I30" i="34"/>
  <c r="E19" i="34"/>
  <c r="O16" i="34"/>
  <c r="I31" i="34"/>
  <c r="L19" i="34"/>
  <c r="D142" i="38"/>
  <c r="L18" i="39"/>
  <c r="E15" i="14"/>
  <c r="I34" i="34"/>
  <c r="R24" i="39"/>
  <c r="S24" i="39" s="1"/>
  <c r="N25" i="34"/>
  <c r="O13" i="34"/>
  <c r="O34" i="34"/>
  <c r="Q20" i="39" s="1"/>
  <c r="R20" i="39" s="1"/>
  <c r="S20" i="39" s="1"/>
  <c r="O37" i="34"/>
  <c r="Q29" i="39" s="1"/>
  <c r="R29" i="39" s="1"/>
  <c r="S29" i="39" s="1"/>
  <c r="O36" i="34"/>
  <c r="Q28" i="39" s="1"/>
  <c r="R28" i="39" s="1"/>
  <c r="S28" i="39" s="1"/>
  <c r="O35" i="34"/>
  <c r="Q27" i="39" s="1"/>
  <c r="R27" i="39" s="1"/>
  <c r="S27" i="39" s="1"/>
  <c r="N44" i="34"/>
  <c r="J45" i="34"/>
  <c r="G44" i="34"/>
  <c r="K45" i="34"/>
  <c r="I29" i="34"/>
  <c r="L25" i="34"/>
  <c r="E25" i="34"/>
  <c r="F45" i="34"/>
  <c r="H19" i="34"/>
  <c r="M17" i="34"/>
  <c r="O17" i="34" s="1"/>
  <c r="I17" i="34"/>
  <c r="I16" i="34"/>
  <c r="U16" i="34" l="1"/>
  <c r="I19" i="34"/>
  <c r="L40" i="34" l="1"/>
  <c r="H40" i="34"/>
  <c r="I40" i="34" s="1"/>
  <c r="E40" i="34"/>
  <c r="M40" i="34" s="1"/>
  <c r="O40" i="34" s="1"/>
  <c r="U40" i="34" l="1"/>
  <c r="D56" i="36" s="1"/>
  <c r="G12" i="41"/>
  <c r="F27" i="36"/>
  <c r="G27" i="36" s="1"/>
  <c r="H27" i="36" s="1"/>
  <c r="I27" i="36" s="1"/>
  <c r="Y13" i="34" l="1"/>
  <c r="Y16" i="34"/>
  <c r="Y17" i="34"/>
  <c r="Y22" i="34"/>
  <c r="Y23" i="34"/>
  <c r="Y24" i="34"/>
  <c r="Y29" i="34"/>
  <c r="Y30" i="34"/>
  <c r="Y31" i="34"/>
  <c r="Y32" i="34"/>
  <c r="Y34" i="34"/>
  <c r="Y35" i="34"/>
  <c r="Y36" i="34"/>
  <c r="Y37" i="34"/>
  <c r="Y39" i="34"/>
  <c r="Y42" i="34"/>
  <c r="Y43" i="34"/>
  <c r="X13" i="34"/>
  <c r="X16" i="34"/>
  <c r="X17" i="34"/>
  <c r="X22" i="34"/>
  <c r="X23" i="34"/>
  <c r="X24" i="34"/>
  <c r="X29" i="34"/>
  <c r="X30" i="34"/>
  <c r="X31" i="34"/>
  <c r="X32" i="34"/>
  <c r="X34" i="34"/>
  <c r="X35" i="34"/>
  <c r="X36" i="34"/>
  <c r="X37" i="34"/>
  <c r="X39" i="34"/>
  <c r="X42" i="34"/>
  <c r="X43" i="34"/>
  <c r="H12" i="41"/>
  <c r="I12" i="41" s="1"/>
  <c r="AP137" i="38"/>
  <c r="AI43" i="34"/>
  <c r="AF25" i="34"/>
  <c r="AF19" i="34"/>
  <c r="AP135" i="38"/>
  <c r="AP130" i="38"/>
  <c r="AP122" i="38"/>
  <c r="AP117" i="38"/>
  <c r="AO139" i="38"/>
  <c r="AO135" i="38"/>
  <c r="AO133" i="38"/>
  <c r="AO130" i="38"/>
  <c r="AO122" i="38"/>
  <c r="AP139" i="38"/>
  <c r="AO137" i="38"/>
  <c r="AP133" i="38"/>
  <c r="AI13" i="34" l="1"/>
  <c r="AF44" i="34"/>
  <c r="AF45" i="34" s="1"/>
  <c r="C118" i="38"/>
  <c r="C141" i="38"/>
  <c r="AP123" i="38"/>
  <c r="AP129" i="38"/>
  <c r="AP131" i="38"/>
  <c r="AP134" i="38"/>
  <c r="AP136" i="38"/>
  <c r="AP140" i="38"/>
  <c r="AO129" i="38"/>
  <c r="AO131" i="38"/>
  <c r="AO134" i="38"/>
  <c r="AO136" i="38"/>
  <c r="AO140" i="38"/>
  <c r="AO117" i="38"/>
  <c r="C124" i="38"/>
  <c r="AH16" i="34"/>
  <c r="AH17" i="34"/>
  <c r="AH22" i="34"/>
  <c r="AH23" i="34"/>
  <c r="AH30" i="34"/>
  <c r="AJ32" i="34"/>
  <c r="AH34" i="34"/>
  <c r="AH35" i="34"/>
  <c r="AK35" i="34" s="1"/>
  <c r="AJ36" i="34"/>
  <c r="AH42" i="34"/>
  <c r="AJ43" i="34"/>
  <c r="AO123" i="38"/>
  <c r="AI16" i="34"/>
  <c r="AH24" i="34"/>
  <c r="AH31" i="34"/>
  <c r="AI36" i="34"/>
  <c r="AO113" i="38"/>
  <c r="AO116" i="38"/>
  <c r="AP113" i="38"/>
  <c r="AP116" i="38"/>
  <c r="AP118" i="38" s="1"/>
  <c r="AO121" i="38"/>
  <c r="AO128" i="38"/>
  <c r="AP121" i="38"/>
  <c r="AP128" i="38"/>
  <c r="AH25" i="34" l="1"/>
  <c r="AH36" i="34"/>
  <c r="AK36" i="34" s="1"/>
  <c r="AH43" i="34"/>
  <c r="AK43" i="34" s="1"/>
  <c r="AH37" i="34"/>
  <c r="AH32" i="34"/>
  <c r="AH29" i="34"/>
  <c r="AG44" i="34"/>
  <c r="AJ13" i="34"/>
  <c r="AH13" i="34"/>
  <c r="AK16" i="34"/>
  <c r="AH19" i="34"/>
  <c r="AG25" i="34"/>
  <c r="AJ16" i="34"/>
  <c r="AG19" i="34"/>
  <c r="AH39" i="34"/>
  <c r="AP141" i="38"/>
  <c r="AO141" i="38"/>
  <c r="AO118" i="38"/>
  <c r="C142" i="38"/>
  <c r="AP124" i="38"/>
  <c r="AP142" i="38" s="1"/>
  <c r="AO124" i="38"/>
  <c r="AG45" i="34" l="1"/>
  <c r="AK13" i="34"/>
  <c r="AH44" i="34"/>
  <c r="AH45" i="34" s="1"/>
  <c r="AO142" i="38"/>
  <c r="L35" i="15" l="1"/>
  <c r="L37" i="15"/>
  <c r="F35" i="15"/>
  <c r="I22" i="15"/>
  <c r="I21" i="15"/>
  <c r="I20" i="15"/>
  <c r="I17" i="15"/>
  <c r="G23" i="15"/>
  <c r="G24" i="15" s="1"/>
  <c r="H23" i="15"/>
  <c r="H24" i="15" s="1"/>
  <c r="N22" i="15"/>
  <c r="N21" i="15"/>
  <c r="N20" i="15"/>
  <c r="N17" i="15"/>
  <c r="N16" i="15"/>
  <c r="O21" i="15"/>
  <c r="F23" i="15"/>
  <c r="F24" i="15" s="1"/>
  <c r="J23" i="15"/>
  <c r="J24" i="15" s="1"/>
  <c r="K23" i="15"/>
  <c r="K24" i="15" s="1"/>
  <c r="L23" i="15"/>
  <c r="L24" i="15" s="1"/>
  <c r="M23" i="15"/>
  <c r="M24" i="15" s="1"/>
  <c r="I18" i="15" l="1"/>
  <c r="F36" i="15"/>
  <c r="F38" i="15" s="1"/>
  <c r="L36" i="15"/>
  <c r="L38" i="15" s="1"/>
  <c r="N18" i="15"/>
  <c r="O22" i="15"/>
  <c r="I23" i="15"/>
  <c r="N23" i="15"/>
  <c r="AO20" i="15"/>
  <c r="AM20" i="15"/>
  <c r="AP20" i="15"/>
  <c r="AN20" i="15"/>
  <c r="AO22" i="15"/>
  <c r="AM22" i="15"/>
  <c r="AP22" i="15"/>
  <c r="AN22" i="15"/>
  <c r="O20" i="15"/>
  <c r="AO21" i="15"/>
  <c r="AM21" i="15"/>
  <c r="AP21" i="15"/>
  <c r="AN21" i="15"/>
  <c r="AP37" i="15"/>
  <c r="AN37" i="15"/>
  <c r="Y37" i="15" s="1"/>
  <c r="AO37" i="15"/>
  <c r="Z37" i="15" s="1"/>
  <c r="AO35" i="15"/>
  <c r="AP35" i="15"/>
  <c r="AN35" i="15"/>
  <c r="Y35" i="15" s="1"/>
  <c r="AP34" i="15"/>
  <c r="AN34" i="15"/>
  <c r="Y34" i="15" s="1"/>
  <c r="AO34" i="15"/>
  <c r="Z34" i="15" s="1"/>
  <c r="M37" i="15"/>
  <c r="AK37" i="15"/>
  <c r="AI37" i="15"/>
  <c r="AJ37" i="15"/>
  <c r="AH37" i="15"/>
  <c r="AK34" i="15"/>
  <c r="AI34" i="15"/>
  <c r="AJ34" i="15"/>
  <c r="T34" i="15" s="1"/>
  <c r="AH34" i="15"/>
  <c r="S34" i="15" s="1"/>
  <c r="M35" i="15"/>
  <c r="M36" i="15" s="1"/>
  <c r="AK35" i="15"/>
  <c r="AI35" i="15"/>
  <c r="AJ35" i="15"/>
  <c r="AH35" i="15"/>
  <c r="AJ22" i="15"/>
  <c r="AH22" i="15"/>
  <c r="AI22" i="15"/>
  <c r="AK22" i="15"/>
  <c r="AJ21" i="15"/>
  <c r="AH21" i="15"/>
  <c r="AI21" i="15"/>
  <c r="AK21" i="15"/>
  <c r="AJ20" i="15"/>
  <c r="AH20" i="15"/>
  <c r="AK20" i="15"/>
  <c r="AI20" i="15"/>
  <c r="AI16" i="15"/>
  <c r="AK16" i="15"/>
  <c r="O17" i="15"/>
  <c r="AP17" i="15"/>
  <c r="AN17" i="15"/>
  <c r="AO17" i="15"/>
  <c r="Z17" i="15" s="1"/>
  <c r="AM17" i="15"/>
  <c r="Y17" i="15" s="1"/>
  <c r="AK17" i="15"/>
  <c r="AI17" i="15"/>
  <c r="AJ17" i="15"/>
  <c r="AH17" i="15"/>
  <c r="AP16" i="15"/>
  <c r="AO16" i="15"/>
  <c r="AN16" i="15"/>
  <c r="AM16" i="15"/>
  <c r="O16" i="15"/>
  <c r="AJ16" i="15"/>
  <c r="AH16" i="15"/>
  <c r="L31" i="39"/>
  <c r="L17" i="39"/>
  <c r="R17" i="39" s="1"/>
  <c r="S17" i="39" s="1"/>
  <c r="V16" i="39"/>
  <c r="S35" i="15" l="1"/>
  <c r="S37" i="15"/>
  <c r="T37" i="15"/>
  <c r="T35" i="15"/>
  <c r="S17" i="15"/>
  <c r="T17" i="15"/>
  <c r="T16" i="15"/>
  <c r="I24" i="15"/>
  <c r="S16" i="15"/>
  <c r="O18" i="15"/>
  <c r="M38" i="15"/>
  <c r="O23" i="15"/>
  <c r="O24" i="15" s="1"/>
  <c r="N24" i="15"/>
  <c r="Y16" i="15"/>
  <c r="Z16" i="15"/>
  <c r="S21" i="15"/>
  <c r="Y21" i="15"/>
  <c r="Y22" i="15"/>
  <c r="Y20" i="15"/>
  <c r="Z21" i="15"/>
  <c r="Z22" i="15"/>
  <c r="Z20" i="15"/>
  <c r="Z35" i="15"/>
  <c r="S22" i="15"/>
  <c r="S20" i="15"/>
  <c r="T22" i="15"/>
  <c r="T21" i="15"/>
  <c r="T20" i="15"/>
  <c r="E23" i="15" l="1"/>
  <c r="E24" i="15" s="1"/>
  <c r="D23" i="15"/>
  <c r="D24" i="15" s="1"/>
  <c r="AB31" i="39" l="1"/>
  <c r="Y31" i="39"/>
  <c r="V31" i="39"/>
  <c r="Z31" i="39"/>
  <c r="Z29" i="39"/>
  <c r="Y29" i="39"/>
  <c r="X29" i="39"/>
  <c r="V29" i="39"/>
  <c r="W29" i="39"/>
  <c r="Z28" i="39"/>
  <c r="Y28" i="39"/>
  <c r="X28" i="39"/>
  <c r="V28" i="39"/>
  <c r="W28" i="39"/>
  <c r="Y27" i="39"/>
  <c r="W27" i="39"/>
  <c r="H25" i="39"/>
  <c r="G25" i="39"/>
  <c r="AB24" i="39"/>
  <c r="Y24" i="39"/>
  <c r="W24" i="39"/>
  <c r="AB23" i="39"/>
  <c r="Z23" i="39"/>
  <c r="Y23" i="39"/>
  <c r="X23" i="39"/>
  <c r="V23" i="39"/>
  <c r="W23" i="39"/>
  <c r="AB20" i="39"/>
  <c r="Y20" i="39"/>
  <c r="W20" i="39"/>
  <c r="AB17" i="39"/>
  <c r="Z17" i="39"/>
  <c r="Y17" i="39"/>
  <c r="X17" i="39"/>
  <c r="V17" i="39"/>
  <c r="W17" i="39"/>
  <c r="AB16" i="39"/>
  <c r="Y16" i="39"/>
  <c r="W16" i="39"/>
  <c r="F4" i="39"/>
  <c r="B1" i="39" s="1"/>
  <c r="L25" i="39" l="1"/>
  <c r="O28" i="39"/>
  <c r="O23" i="39"/>
  <c r="O29" i="39"/>
  <c r="O16" i="39"/>
  <c r="O17" i="39"/>
  <c r="V27" i="39"/>
  <c r="O27" i="39" s="1"/>
  <c r="X27" i="39"/>
  <c r="Z27" i="39"/>
  <c r="AA27" i="39" s="1"/>
  <c r="AA29" i="39"/>
  <c r="P29" i="39" s="1"/>
  <c r="AA28" i="39"/>
  <c r="P28" i="39" s="1"/>
  <c r="AA23" i="39"/>
  <c r="P23" i="39" s="1"/>
  <c r="AA17" i="39"/>
  <c r="P17" i="39" s="1"/>
  <c r="AA31" i="39"/>
  <c r="X16" i="39"/>
  <c r="Z16" i="39"/>
  <c r="AA16" i="39" s="1"/>
  <c r="V20" i="39"/>
  <c r="O20" i="39" s="1"/>
  <c r="X20" i="39"/>
  <c r="Z20" i="39"/>
  <c r="AA20" i="39" s="1"/>
  <c r="V24" i="39"/>
  <c r="O24" i="39" s="1"/>
  <c r="X24" i="39"/>
  <c r="Z24" i="39"/>
  <c r="AA24" i="39" s="1"/>
  <c r="W31" i="39"/>
  <c r="O31" i="39" s="1"/>
  <c r="X31" i="39"/>
  <c r="P31" i="39" s="1"/>
  <c r="P27" i="39" l="1"/>
  <c r="P24" i="39"/>
  <c r="P20" i="39"/>
  <c r="P16" i="39"/>
  <c r="E26" i="36" l="1"/>
  <c r="M77" i="38" l="1"/>
  <c r="M100" i="38"/>
  <c r="M83" i="38"/>
  <c r="M101" i="38" l="1"/>
  <c r="AR100" i="38"/>
  <c r="AQ100" i="38"/>
  <c r="AR83" i="38"/>
  <c r="AQ83" i="38"/>
  <c r="AR77" i="38"/>
  <c r="AQ77" i="38"/>
  <c r="T77" i="38"/>
  <c r="S77" i="38"/>
  <c r="AN100" i="38"/>
  <c r="AM100" i="38"/>
  <c r="AN83" i="38"/>
  <c r="AM83" i="38"/>
  <c r="AL100" i="38"/>
  <c r="AK100" i="38"/>
  <c r="AL83" i="38"/>
  <c r="AK83" i="38"/>
  <c r="AJ100" i="38"/>
  <c r="AI100" i="38"/>
  <c r="AJ83" i="38"/>
  <c r="AI83" i="38"/>
  <c r="AJ77" i="38"/>
  <c r="AI77" i="38"/>
  <c r="AH100" i="38"/>
  <c r="AG100" i="38"/>
  <c r="AH83" i="38"/>
  <c r="AG83" i="38"/>
  <c r="AH77" i="38"/>
  <c r="AG77" i="38"/>
  <c r="AF100" i="38"/>
  <c r="AE100" i="38"/>
  <c r="AF83" i="38"/>
  <c r="AE83" i="38"/>
  <c r="AF77" i="38"/>
  <c r="AE77" i="38"/>
  <c r="AD100" i="38"/>
  <c r="AC100" i="38"/>
  <c r="AD83" i="38"/>
  <c r="AC83" i="38"/>
  <c r="AD77" i="38"/>
  <c r="AC77" i="38"/>
  <c r="AB100" i="38"/>
  <c r="AA100" i="38"/>
  <c r="AB83" i="38"/>
  <c r="AA83" i="38"/>
  <c r="AB77" i="38"/>
  <c r="AA77" i="38"/>
  <c r="Z100" i="38"/>
  <c r="Y100" i="38"/>
  <c r="Z83" i="38"/>
  <c r="Y83" i="38"/>
  <c r="Z77" i="38"/>
  <c r="Y77" i="38"/>
  <c r="X100" i="38"/>
  <c r="W100" i="38"/>
  <c r="X83" i="38"/>
  <c r="W83" i="38"/>
  <c r="V100" i="38"/>
  <c r="U100" i="38"/>
  <c r="V83" i="38"/>
  <c r="U83" i="38"/>
  <c r="T100" i="38"/>
  <c r="S100" i="38"/>
  <c r="S83" i="38"/>
  <c r="AA43" i="34"/>
  <c r="AA36" i="34"/>
  <c r="O100" i="38"/>
  <c r="P83" i="38"/>
  <c r="L100" i="38"/>
  <c r="K100" i="38"/>
  <c r="L83" i="38"/>
  <c r="K83" i="38"/>
  <c r="L77" i="38"/>
  <c r="K77" i="38"/>
  <c r="J100" i="38"/>
  <c r="I100" i="38"/>
  <c r="J83" i="38"/>
  <c r="I83" i="38"/>
  <c r="I77" i="38"/>
  <c r="H100" i="38"/>
  <c r="G100" i="38"/>
  <c r="H83" i="38"/>
  <c r="G83" i="38"/>
  <c r="H77" i="38"/>
  <c r="G77" i="38"/>
  <c r="F100" i="38"/>
  <c r="E100" i="38"/>
  <c r="F83" i="38"/>
  <c r="E83" i="38"/>
  <c r="F77" i="38"/>
  <c r="E77" i="38"/>
  <c r="D83" i="38"/>
  <c r="D77" i="38"/>
  <c r="C77" i="38"/>
  <c r="J77" i="38" l="1"/>
  <c r="P100" i="38"/>
  <c r="T83" i="38"/>
  <c r="T101" i="38" s="1"/>
  <c r="O83" i="38"/>
  <c r="AO81" i="38"/>
  <c r="AO82" i="38"/>
  <c r="AO88" i="38"/>
  <c r="AO89" i="38"/>
  <c r="AO93" i="38"/>
  <c r="AO95" i="38"/>
  <c r="AO98" i="38"/>
  <c r="AB32" i="34"/>
  <c r="AB36" i="34"/>
  <c r="AB43" i="34"/>
  <c r="AM77" i="38"/>
  <c r="AM101" i="38" s="1"/>
  <c r="AL77" i="38"/>
  <c r="AL101" i="38" s="1"/>
  <c r="AN77" i="38"/>
  <c r="AN101" i="38" s="1"/>
  <c r="AP88" i="38"/>
  <c r="AO90" i="38"/>
  <c r="Q83" i="38"/>
  <c r="Q100" i="38"/>
  <c r="X44" i="34"/>
  <c r="R77" i="38"/>
  <c r="AB16" i="34"/>
  <c r="R83" i="38"/>
  <c r="R100" i="38"/>
  <c r="Q77" i="38"/>
  <c r="AA16" i="34"/>
  <c r="W77" i="38"/>
  <c r="W101" i="38" s="1"/>
  <c r="D100" i="38"/>
  <c r="AO92" i="38"/>
  <c r="AO94" i="38"/>
  <c r="AO96" i="38"/>
  <c r="AO99" i="38"/>
  <c r="N100" i="38"/>
  <c r="AK77" i="38"/>
  <c r="AK101" i="38" s="1"/>
  <c r="C100" i="38"/>
  <c r="AO87" i="38"/>
  <c r="F101" i="38"/>
  <c r="G101" i="38"/>
  <c r="I101" i="38"/>
  <c r="K101" i="38"/>
  <c r="Z101" i="38"/>
  <c r="AB101" i="38"/>
  <c r="AD101" i="38"/>
  <c r="AF101" i="38"/>
  <c r="AH101" i="38"/>
  <c r="AJ101" i="38"/>
  <c r="X77" i="38"/>
  <c r="X101" i="38" s="1"/>
  <c r="U77" i="38"/>
  <c r="U101" i="38" s="1"/>
  <c r="AQ101" i="38"/>
  <c r="AO80" i="38"/>
  <c r="C83" i="38"/>
  <c r="E101" i="38"/>
  <c r="H101" i="38"/>
  <c r="J101" i="38"/>
  <c r="L101" i="38"/>
  <c r="N77" i="38"/>
  <c r="N83" i="38"/>
  <c r="O77" i="38"/>
  <c r="S101" i="38"/>
  <c r="Y101" i="38"/>
  <c r="AA101" i="38"/>
  <c r="AC101" i="38"/>
  <c r="AE101" i="38"/>
  <c r="AG101" i="38"/>
  <c r="AI101" i="38"/>
  <c r="P77" i="38"/>
  <c r="V77" i="38"/>
  <c r="V101" i="38" s="1"/>
  <c r="AR101" i="38"/>
  <c r="AP87" i="38"/>
  <c r="O101" i="38" l="1"/>
  <c r="R101" i="38"/>
  <c r="Q101" i="38"/>
  <c r="Y44" i="34"/>
  <c r="Z13" i="34"/>
  <c r="P101" i="38"/>
  <c r="AO100" i="38"/>
  <c r="AO83" i="38"/>
  <c r="D101" i="38"/>
  <c r="N101" i="38"/>
  <c r="C101" i="38"/>
  <c r="AP72" i="38"/>
  <c r="AP99" i="38"/>
  <c r="AP98" i="38"/>
  <c r="AP96" i="38"/>
  <c r="AP95" i="38"/>
  <c r="AP94" i="38"/>
  <c r="AP93" i="38"/>
  <c r="AP92" i="38"/>
  <c r="AP90" i="38"/>
  <c r="AP89" i="38"/>
  <c r="AP81" i="38"/>
  <c r="AP82" i="38"/>
  <c r="D2" i="38"/>
  <c r="E15" i="36"/>
  <c r="E16" i="36"/>
  <c r="E17" i="36"/>
  <c r="E19" i="36"/>
  <c r="E20" i="36"/>
  <c r="E21" i="36"/>
  <c r="E22" i="36"/>
  <c r="E23" i="36"/>
  <c r="E24" i="36"/>
  <c r="M22" i="34"/>
  <c r="H22" i="34"/>
  <c r="M23" i="34"/>
  <c r="O23" i="34" s="1"/>
  <c r="U23" i="34" s="1"/>
  <c r="H23" i="34"/>
  <c r="M24" i="34"/>
  <c r="O24" i="34" s="1"/>
  <c r="D37" i="36" s="1"/>
  <c r="F37" i="36" s="1"/>
  <c r="G37" i="36" s="1"/>
  <c r="H37" i="36" s="1"/>
  <c r="H24" i="34"/>
  <c r="E29" i="34"/>
  <c r="AJ29" i="34"/>
  <c r="S29" i="34"/>
  <c r="E30" i="34"/>
  <c r="AJ30" i="34"/>
  <c r="M30" i="34"/>
  <c r="S30" i="34"/>
  <c r="E31" i="34"/>
  <c r="M31" i="34" s="1"/>
  <c r="AJ31" i="34"/>
  <c r="S31" i="34"/>
  <c r="U17" i="15" s="1"/>
  <c r="V17" i="15" s="1"/>
  <c r="M32" i="34"/>
  <c r="S32" i="34"/>
  <c r="U35" i="15" s="1"/>
  <c r="V35" i="15" s="1"/>
  <c r="L34" i="34"/>
  <c r="S34" i="34"/>
  <c r="U34" i="34" s="1"/>
  <c r="H35" i="34"/>
  <c r="L35" i="34"/>
  <c r="AJ35" i="34" s="1"/>
  <c r="S35" i="34"/>
  <c r="U35" i="34" s="1"/>
  <c r="H36" i="34"/>
  <c r="I36" i="34" s="1"/>
  <c r="L36" i="34"/>
  <c r="S36" i="34"/>
  <c r="U36" i="34" s="1"/>
  <c r="H37" i="34"/>
  <c r="I37" i="34" s="1"/>
  <c r="L37" i="34"/>
  <c r="S37" i="34"/>
  <c r="U37" i="34" s="1"/>
  <c r="E39" i="34"/>
  <c r="M39" i="34" s="1"/>
  <c r="O39" i="34" s="1"/>
  <c r="AK39" i="34" s="1"/>
  <c r="H39" i="34"/>
  <c r="L39" i="34"/>
  <c r="Y13" i="13"/>
  <c r="S13" i="13"/>
  <c r="T13" i="13"/>
  <c r="U13" i="13"/>
  <c r="V13" i="13"/>
  <c r="W13" i="13"/>
  <c r="X13" i="13"/>
  <c r="Y14" i="13"/>
  <c r="S14" i="13"/>
  <c r="T14" i="13"/>
  <c r="U14" i="13"/>
  <c r="V14" i="13"/>
  <c r="W14" i="13"/>
  <c r="X14" i="13"/>
  <c r="S18" i="13"/>
  <c r="T18" i="13"/>
  <c r="U18" i="13"/>
  <c r="V18" i="13"/>
  <c r="W18" i="13"/>
  <c r="X18" i="13"/>
  <c r="Y18" i="13"/>
  <c r="S19" i="13"/>
  <c r="T19" i="13"/>
  <c r="U19" i="13"/>
  <c r="V19" i="13"/>
  <c r="W19" i="13"/>
  <c r="X19" i="13"/>
  <c r="Y19" i="13"/>
  <c r="E4" i="14"/>
  <c r="B1" i="14" s="1"/>
  <c r="B1" i="15"/>
  <c r="AO76" i="38"/>
  <c r="AO72" i="38"/>
  <c r="AO75" i="38"/>
  <c r="AO77" i="38" s="1"/>
  <c r="AP75" i="38"/>
  <c r="AP80" i="38"/>
  <c r="Z29" i="34"/>
  <c r="AJ37" i="34" l="1"/>
  <c r="AB37" i="34"/>
  <c r="B4" i="40"/>
  <c r="C4" i="48"/>
  <c r="C4" i="46"/>
  <c r="B3" i="47"/>
  <c r="B4" i="43"/>
  <c r="AA35" i="15"/>
  <c r="AB35" i="15" s="1"/>
  <c r="AC35" i="15" s="1"/>
  <c r="AA17" i="15"/>
  <c r="AB17" i="15" s="1"/>
  <c r="AC17" i="15" s="1"/>
  <c r="B4" i="44"/>
  <c r="C4" i="45"/>
  <c r="B4" i="42"/>
  <c r="AB39" i="34"/>
  <c r="AJ39" i="34"/>
  <c r="U39" i="34"/>
  <c r="C4" i="41"/>
  <c r="AA39" i="34"/>
  <c r="I39" i="34"/>
  <c r="AI39" i="34" s="1"/>
  <c r="L44" i="34"/>
  <c r="L45" i="34" s="1"/>
  <c r="I35" i="34"/>
  <c r="H44" i="34"/>
  <c r="M29" i="34"/>
  <c r="M44" i="34" s="1"/>
  <c r="E44" i="34"/>
  <c r="E45" i="34" s="1"/>
  <c r="H25" i="34"/>
  <c r="I22" i="34"/>
  <c r="Q16" i="39" s="1"/>
  <c r="R16" i="39" s="1"/>
  <c r="S16" i="39" s="1"/>
  <c r="O22" i="34"/>
  <c r="F23" i="36" s="1"/>
  <c r="G23" i="36" s="1"/>
  <c r="H23" i="36" s="1"/>
  <c r="I23" i="36" s="1"/>
  <c r="M25" i="34"/>
  <c r="AJ22" i="34"/>
  <c r="AB22" i="34"/>
  <c r="AB30" i="34"/>
  <c r="AB29" i="34"/>
  <c r="AB35" i="34"/>
  <c r="AB31" i="34"/>
  <c r="M19" i="34"/>
  <c r="AP83" i="38"/>
  <c r="AB42" i="34"/>
  <c r="AJ42" i="34"/>
  <c r="AA42" i="34"/>
  <c r="AI42" i="34"/>
  <c r="AB34" i="34"/>
  <c r="AJ34" i="34"/>
  <c r="O31" i="34"/>
  <c r="U16" i="15" s="1"/>
  <c r="V16" i="15" s="1"/>
  <c r="W16" i="15" s="1"/>
  <c r="O30" i="34"/>
  <c r="AA34" i="15" s="1"/>
  <c r="AB34" i="15" s="1"/>
  <c r="AA32" i="34"/>
  <c r="AI32" i="34"/>
  <c r="AA31" i="34"/>
  <c r="AI31" i="34"/>
  <c r="AA30" i="34"/>
  <c r="AI30" i="34"/>
  <c r="AB24" i="34"/>
  <c r="AJ24" i="34"/>
  <c r="AJ23" i="34"/>
  <c r="AB23" i="34"/>
  <c r="AB17" i="34"/>
  <c r="AJ17" i="34"/>
  <c r="AB13" i="34"/>
  <c r="AA13" i="34"/>
  <c r="D58" i="36"/>
  <c r="E58" i="36" s="1"/>
  <c r="F58" i="36" s="1"/>
  <c r="G58" i="36" s="1"/>
  <c r="F20" i="36"/>
  <c r="G20" i="36" s="1"/>
  <c r="H20" i="36" s="1"/>
  <c r="I20" i="36" s="1"/>
  <c r="I24" i="34"/>
  <c r="I23" i="34"/>
  <c r="Q23" i="39" s="1"/>
  <c r="R23" i="39" s="1"/>
  <c r="S23" i="39" s="1"/>
  <c r="E56" i="36"/>
  <c r="F56" i="36" s="1"/>
  <c r="G56" i="36" s="1"/>
  <c r="AK34" i="34"/>
  <c r="AK24" i="34"/>
  <c r="AK23" i="34"/>
  <c r="AK42" i="34"/>
  <c r="O32" i="34"/>
  <c r="U34" i="15" s="1"/>
  <c r="V34" i="15" s="1"/>
  <c r="W34" i="15" s="1"/>
  <c r="W17" i="15"/>
  <c r="AI19" i="34"/>
  <c r="W35" i="15"/>
  <c r="G25" i="34"/>
  <c r="AJ19" i="34"/>
  <c r="AJ25" i="34"/>
  <c r="F22" i="36"/>
  <c r="G22" i="36" s="1"/>
  <c r="H22" i="36" s="1"/>
  <c r="I22" i="36" s="1"/>
  <c r="AP100" i="38"/>
  <c r="C4" i="13"/>
  <c r="C4" i="39"/>
  <c r="C3" i="34"/>
  <c r="AO101" i="38"/>
  <c r="N19" i="34"/>
  <c r="N45" i="34" s="1"/>
  <c r="C3" i="36"/>
  <c r="Z36" i="34"/>
  <c r="AC36" i="34" s="1"/>
  <c r="Z30" i="34"/>
  <c r="AC30" i="34" s="1"/>
  <c r="Y25" i="34"/>
  <c r="Z22" i="34"/>
  <c r="Z42" i="34"/>
  <c r="AC42" i="34" s="1"/>
  <c r="X19" i="34"/>
  <c r="Z37" i="34"/>
  <c r="AC37" i="34" s="1"/>
  <c r="Z35" i="34"/>
  <c r="AC35" i="34" s="1"/>
  <c r="Z34" i="34"/>
  <c r="AC34" i="34" s="1"/>
  <c r="Z31" i="34"/>
  <c r="Z24" i="34"/>
  <c r="AC24" i="34" s="1"/>
  <c r="C4" i="15"/>
  <c r="C4" i="14"/>
  <c r="Z23" i="34"/>
  <c r="AC23" i="34" s="1"/>
  <c r="Z43" i="34"/>
  <c r="AC43" i="34" s="1"/>
  <c r="Z39" i="34"/>
  <c r="AC39" i="34" s="1"/>
  <c r="Z32" i="34"/>
  <c r="AC32" i="34" s="1"/>
  <c r="Z16" i="34"/>
  <c r="AC16" i="34" s="1"/>
  <c r="X25" i="34"/>
  <c r="AK31" i="34" l="1"/>
  <c r="AC22" i="34"/>
  <c r="AK22" i="34"/>
  <c r="AC31" i="34"/>
  <c r="I44" i="34"/>
  <c r="AI35" i="34"/>
  <c r="AA35" i="34"/>
  <c r="AB44" i="34"/>
  <c r="X45" i="34"/>
  <c r="Z44" i="34"/>
  <c r="AJ44" i="34"/>
  <c r="F17" i="36"/>
  <c r="G17" i="36" s="1"/>
  <c r="H17" i="36" s="1"/>
  <c r="I17" i="36" s="1"/>
  <c r="U32" i="34"/>
  <c r="F16" i="36"/>
  <c r="G16" i="36" s="1"/>
  <c r="H16" i="36" s="1"/>
  <c r="I16" i="36" s="1"/>
  <c r="U31" i="34"/>
  <c r="F15" i="36"/>
  <c r="G15" i="36" s="1"/>
  <c r="H15" i="36" s="1"/>
  <c r="I15" i="36" s="1"/>
  <c r="U30" i="34"/>
  <c r="O29" i="34"/>
  <c r="AA16" i="15" s="1"/>
  <c r="AB16" i="15" s="1"/>
  <c r="M45" i="34"/>
  <c r="U22" i="34"/>
  <c r="D53" i="36" s="1"/>
  <c r="O25" i="34"/>
  <c r="AK25" i="34" s="1"/>
  <c r="AC34" i="15"/>
  <c r="F26" i="36"/>
  <c r="AK17" i="34"/>
  <c r="F19" i="36"/>
  <c r="G19" i="36" s="1"/>
  <c r="H19" i="36" s="1"/>
  <c r="I19" i="36" s="1"/>
  <c r="AK37" i="34"/>
  <c r="AI37" i="34"/>
  <c r="AA37" i="34"/>
  <c r="AA34" i="34"/>
  <c r="AI34" i="34"/>
  <c r="AK30" i="34"/>
  <c r="AK32" i="34"/>
  <c r="AA29" i="34"/>
  <c r="AI29" i="34"/>
  <c r="F24" i="36"/>
  <c r="AA24" i="34"/>
  <c r="AI24" i="34"/>
  <c r="AI23" i="34"/>
  <c r="AA22" i="34"/>
  <c r="AI22" i="34"/>
  <c r="AA19" i="34"/>
  <c r="AA17" i="34"/>
  <c r="AI17" i="34"/>
  <c r="I25" i="34"/>
  <c r="AA23" i="34"/>
  <c r="AJ45" i="34"/>
  <c r="AB25" i="34"/>
  <c r="F21" i="36"/>
  <c r="Z25" i="34"/>
  <c r="AP76" i="38"/>
  <c r="AP77" i="38" s="1"/>
  <c r="AP101" i="38" s="1"/>
  <c r="AC13" i="34"/>
  <c r="D51" i="36" l="1"/>
  <c r="AC25" i="34"/>
  <c r="I45" i="34"/>
  <c r="AI45" i="34" s="1"/>
  <c r="AC29" i="34"/>
  <c r="AC16" i="15"/>
  <c r="AK29" i="34"/>
  <c r="F14" i="36"/>
  <c r="U29" i="34"/>
  <c r="D49" i="36" s="1"/>
  <c r="O44" i="34"/>
  <c r="AK44" i="34" s="1"/>
  <c r="D54" i="36"/>
  <c r="E54" i="36" s="1"/>
  <c r="F54" i="36" s="1"/>
  <c r="G54" i="36" s="1"/>
  <c r="O19" i="34"/>
  <c r="I37" i="36"/>
  <c r="AI44" i="34"/>
  <c r="AA25" i="34"/>
  <c r="AI25" i="34"/>
  <c r="AA44" i="34"/>
  <c r="G21" i="36"/>
  <c r="H21" i="36" s="1"/>
  <c r="I21" i="36" s="1"/>
  <c r="Z17" i="34"/>
  <c r="Y19" i="34"/>
  <c r="Y45" i="34" s="1"/>
  <c r="E53" i="36"/>
  <c r="F53" i="36" s="1"/>
  <c r="G53" i="36" s="1"/>
  <c r="G14" i="36" l="1"/>
  <c r="H14" i="36" s="1"/>
  <c r="I14" i="36" s="1"/>
  <c r="AC44" i="34"/>
  <c r="AK19" i="34"/>
  <c r="O45" i="34"/>
  <c r="AK45" i="34" s="1"/>
  <c r="E49" i="36"/>
  <c r="F49" i="36" s="1"/>
  <c r="G49" i="36" s="1"/>
  <c r="E51" i="36"/>
  <c r="F51" i="36" s="1"/>
  <c r="G51" i="36" s="1"/>
  <c r="AA45" i="34"/>
  <c r="AB45" i="34"/>
  <c r="AB19" i="34"/>
  <c r="Z19" i="34"/>
  <c r="Z45" i="34" s="1"/>
  <c r="AC17" i="34"/>
  <c r="G26" i="36"/>
  <c r="H26" i="36" s="1"/>
  <c r="I26" i="36" s="1"/>
  <c r="AC45" i="34" l="1"/>
  <c r="AC19" i="34"/>
  <c r="G24" i="36"/>
  <c r="H24" i="36" s="1"/>
  <c r="I24" i="36" s="1"/>
</calcChain>
</file>

<file path=xl/sharedStrings.xml><?xml version="1.0" encoding="utf-8"?>
<sst xmlns="http://schemas.openxmlformats.org/spreadsheetml/2006/main" count="1603" uniqueCount="490">
  <si>
    <t>Institution:</t>
  </si>
  <si>
    <t>Forecast</t>
  </si>
  <si>
    <t>Total</t>
  </si>
  <si>
    <t>(Calculated)</t>
  </si>
  <si>
    <t>(1)</t>
  </si>
  <si>
    <t>(2)</t>
  </si>
  <si>
    <t>(3)</t>
  </si>
  <si>
    <t>(4)</t>
  </si>
  <si>
    <t>(5)</t>
  </si>
  <si>
    <t>(6)</t>
  </si>
  <si>
    <t>(10)</t>
  </si>
  <si>
    <t>(11)</t>
  </si>
  <si>
    <t>(12)</t>
  </si>
  <si>
    <t>(13)</t>
  </si>
  <si>
    <t>(14)</t>
  </si>
  <si>
    <t>(15)</t>
  </si>
  <si>
    <t>(16)</t>
  </si>
  <si>
    <t>(17)</t>
  </si>
  <si>
    <t>Pre-clinical</t>
  </si>
  <si>
    <t>Pre-clinical Medicine</t>
  </si>
  <si>
    <t>Pre-clinical Dentistry</t>
  </si>
  <si>
    <t>Education</t>
  </si>
  <si>
    <t>BEd  Physical Education</t>
  </si>
  <si>
    <t>Taught Postgraduate</t>
  </si>
  <si>
    <t>Taught PG: UG fees</t>
  </si>
  <si>
    <t>Undergraduate</t>
  </si>
  <si>
    <t>Research Postgraduate</t>
  </si>
  <si>
    <t>Year of course</t>
  </si>
  <si>
    <t>2</t>
  </si>
  <si>
    <t>3</t>
  </si>
  <si>
    <t>4</t>
  </si>
  <si>
    <t>5</t>
  </si>
  <si>
    <t>FTE</t>
  </si>
  <si>
    <t>Primary</t>
  </si>
  <si>
    <t>Secondary</t>
  </si>
  <si>
    <t>BEd Music</t>
  </si>
  <si>
    <t>BEd Physical Education</t>
  </si>
  <si>
    <t>BEd Technology</t>
  </si>
  <si>
    <t xml:space="preserve">Combined Degrees in Education </t>
  </si>
  <si>
    <t>1</t>
  </si>
  <si>
    <t>At your institution</t>
  </si>
  <si>
    <t>At another institution</t>
  </si>
  <si>
    <t>Teaching Sector</t>
  </si>
  <si>
    <t>Headcount</t>
  </si>
  <si>
    <t>Year of Course</t>
  </si>
  <si>
    <t>Medicine</t>
  </si>
  <si>
    <t>Clinical</t>
  </si>
  <si>
    <t>Enter</t>
  </si>
  <si>
    <t>Part-time</t>
  </si>
  <si>
    <t>Clinical Medicine</t>
  </si>
  <si>
    <t>Clinical Dentistry</t>
  </si>
  <si>
    <t>Adult</t>
  </si>
  <si>
    <t>Three-year</t>
  </si>
  <si>
    <t>Conversion</t>
  </si>
  <si>
    <t>Graduate entry</t>
  </si>
  <si>
    <t>Mental Health</t>
  </si>
  <si>
    <t>Child Health</t>
  </si>
  <si>
    <t>Learning Disability</t>
  </si>
  <si>
    <t>Midwifery</t>
  </si>
  <si>
    <t>(7)</t>
  </si>
  <si>
    <t>(8)</t>
  </si>
  <si>
    <t>(9)</t>
  </si>
  <si>
    <t>Full-time</t>
  </si>
  <si>
    <t>Aberdeen, University of</t>
  </si>
  <si>
    <t>Abertay Dundee, University of</t>
  </si>
  <si>
    <t>Dundee, University of</t>
  </si>
  <si>
    <t>Edinburgh, University of</t>
  </si>
  <si>
    <t>Glasgow Caledonian University</t>
  </si>
  <si>
    <t>Glasgow School of Art</t>
  </si>
  <si>
    <t>Glasgow, University of</t>
  </si>
  <si>
    <t>Heriot-Watt University</t>
  </si>
  <si>
    <t>Robert Gordon University</t>
  </si>
  <si>
    <t>St Andrews, University of</t>
  </si>
  <si>
    <t>Stirling, University of</t>
  </si>
  <si>
    <t>Strathclyde, University of</t>
  </si>
  <si>
    <t>Calculated</t>
  </si>
  <si>
    <t>Referenced</t>
  </si>
  <si>
    <t>Queen Margaret University, Edinburgh</t>
  </si>
  <si>
    <t>West of Scotland, University of the</t>
  </si>
  <si>
    <t>Check FTE is less than or equal to Headcount:</t>
  </si>
  <si>
    <t>Table 1</t>
  </si>
  <si>
    <t>(*) These totals should equal the corresponding course totals on Table 1</t>
  </si>
  <si>
    <t>Edinburgh Napier University</t>
  </si>
  <si>
    <t>(18)</t>
  </si>
  <si>
    <t>(19)</t>
  </si>
  <si>
    <t>Head-
count</t>
  </si>
  <si>
    <t>Total
funded
places</t>
  </si>
  <si>
    <t>Autumn
Count</t>
  </si>
  <si>
    <t>Year 0</t>
  </si>
  <si>
    <t>Year 1</t>
  </si>
  <si>
    <t>Year 2</t>
  </si>
  <si>
    <t>Year 3</t>
  </si>
  <si>
    <t>Year 4</t>
  </si>
  <si>
    <t>Year 5</t>
  </si>
  <si>
    <t>flag=1</t>
  </si>
  <si>
    <t>Warning messages</t>
  </si>
  <si>
    <t>Check for cells where only one of  FTE and headcount is non-zero:</t>
  </si>
  <si>
    <t>Students
eligible
for
funding</t>
  </si>
  <si>
    <t>Intake missing?</t>
  </si>
  <si>
    <t>Difference OK?</t>
  </si>
  <si>
    <t>Students Eligible for Funding</t>
  </si>
  <si>
    <t>Full-time and Sandwich (excluding short full-time)</t>
  </si>
  <si>
    <t>Part-time
(including short full-time)</t>
  </si>
  <si>
    <t>Autumn Count</t>
  </si>
  <si>
    <t>Other</t>
  </si>
  <si>
    <t>(20)</t>
  </si>
  <si>
    <t>(21)</t>
  </si>
  <si>
    <t>(22)</t>
  </si>
  <si>
    <t>Controlled Subject Areas</t>
  </si>
  <si>
    <t>Nursing and Midwifery</t>
  </si>
  <si>
    <t>Non-Controlled Subject Areas</t>
  </si>
  <si>
    <t>PGCE / PGDE Primary</t>
  </si>
  <si>
    <t>PGCE / PGDE Secondary</t>
  </si>
  <si>
    <t>Other subject areas</t>
  </si>
  <si>
    <t>Medicine and Dentistry</t>
  </si>
  <si>
    <t>STEM subject areas</t>
  </si>
  <si>
    <t>All Levels</t>
  </si>
  <si>
    <t>The cells with a white background are those in which figures can be entered.</t>
  </si>
  <si>
    <t>BEd Primary</t>
  </si>
  <si>
    <t>Enter /
Calculated</t>
  </si>
  <si>
    <t>Scottish
Govern-
ment
funded
places</t>
  </si>
  <si>
    <t>Fees-only students</t>
  </si>
  <si>
    <t>Percentage</t>
  </si>
  <si>
    <t>Highlands and Islands, University of the</t>
  </si>
  <si>
    <t>Open University in Scotland</t>
  </si>
  <si>
    <t>Royal Conservatoire of Scotland</t>
  </si>
  <si>
    <t>Check total</t>
  </si>
  <si>
    <t>Institution</t>
  </si>
  <si>
    <t>Clinical
medicine</t>
  </si>
  <si>
    <t>Clinical
dentistry</t>
  </si>
  <si>
    <t>BEd
Primary</t>
  </si>
  <si>
    <t>BEd
Music</t>
  </si>
  <si>
    <t>BEd PE</t>
  </si>
  <si>
    <t>BEd
Technology</t>
  </si>
  <si>
    <t>PGDE
Primary</t>
  </si>
  <si>
    <t>PGDE
Secondary</t>
  </si>
  <si>
    <t>PGDE Primary</t>
  </si>
  <si>
    <t>PGDE Secondary</t>
  </si>
  <si>
    <t>Community
Education</t>
  </si>
  <si>
    <t>(23)</t>
  </si>
  <si>
    <t>(24)</t>
  </si>
  <si>
    <t>(25)</t>
  </si>
  <si>
    <t>(26)</t>
  </si>
  <si>
    <t>(27)</t>
  </si>
  <si>
    <t>(28)</t>
  </si>
  <si>
    <t>(29)</t>
  </si>
  <si>
    <t>(31)</t>
  </si>
  <si>
    <t>(30)</t>
  </si>
  <si>
    <t>Table flags</t>
  </si>
  <si>
    <t>Institution selected</t>
  </si>
  <si>
    <t>Students enrolled on Catholic courses
or modules studying ITE</t>
  </si>
  <si>
    <t>(Calcul-
ated)</t>
  </si>
  <si>
    <t>Intake
to the
course</t>
  </si>
  <si>
    <t>Col</t>
  </si>
  <si>
    <t>Medicine
under-
graduates</t>
  </si>
  <si>
    <t>Dentistry
under-
graduates</t>
  </si>
  <si>
    <t>(32)</t>
  </si>
  <si>
    <t>(33)</t>
  </si>
  <si>
    <t>(34)</t>
  </si>
  <si>
    <t>(35)</t>
  </si>
  <si>
    <t>(36)</t>
  </si>
  <si>
    <t>(37)</t>
  </si>
  <si>
    <t>Parameters</t>
  </si>
  <si>
    <t>Controlled Under-enrolments</t>
  </si>
  <si>
    <t>Non-controlled Under-enrolments</t>
  </si>
  <si>
    <t>Is there an
under-
enrolment
below the
tolerance
threshold
(Yes or
No) ?</t>
  </si>
  <si>
    <t>Controlled subject areas</t>
  </si>
  <si>
    <t>Non-controlled subject areas</t>
  </si>
  <si>
    <t>Taught Postgraduate and Undergraduate</t>
  </si>
  <si>
    <t>Subject area</t>
  </si>
  <si>
    <t>Non-controlled Subject Areas</t>
  </si>
  <si>
    <t>Is there a
breach of
consol-
idation
(Yes or
No) ?</t>
  </si>
  <si>
    <t>(38)</t>
  </si>
  <si>
    <t>Rest of UK Students
Not Eligible for Funding
in Controlled Subject Areas</t>
  </si>
  <si>
    <t>Funded Places and Indicative Numbers</t>
  </si>
  <si>
    <t>Title</t>
  </si>
  <si>
    <t>Aberdeen,
University of</t>
  </si>
  <si>
    <t>Abertay Dundee,
University of</t>
  </si>
  <si>
    <t>Dundee,
University of</t>
  </si>
  <si>
    <t>West of Scotland,
University of the</t>
  </si>
  <si>
    <t>Strathclyde,
University of</t>
  </si>
  <si>
    <t>Stirling,
University of</t>
  </si>
  <si>
    <t>St Andrews,
University of</t>
  </si>
  <si>
    <t>Robert Gordon
University</t>
  </si>
  <si>
    <t>Queen Margaret
University, Edinburgh</t>
  </si>
  <si>
    <t>Royal Conservatoire
of Scotland</t>
  </si>
  <si>
    <t>Highlands and Islands,
University of the</t>
  </si>
  <si>
    <t>Glasgow Caledonian
University</t>
  </si>
  <si>
    <t>Edinburgh,
University of</t>
  </si>
  <si>
    <t>Edinburgh Napier
University</t>
  </si>
  <si>
    <t>Heriot-Watt
University</t>
  </si>
  <si>
    <t>(39)</t>
  </si>
  <si>
    <t>(40)</t>
  </si>
  <si>
    <t>Open University
in Scotland
(Enrolments)</t>
  </si>
  <si>
    <t>Open University
in Scotland
(Completions)</t>
  </si>
  <si>
    <t>Level of Study / Subject Area</t>
  </si>
  <si>
    <t>(43)</t>
  </si>
  <si>
    <t>Included in Table</t>
  </si>
  <si>
    <t>2a</t>
  </si>
  <si>
    <t>2b</t>
  </si>
  <si>
    <t>2c</t>
  </si>
  <si>
    <t>Scots, Other EU, Rest of UK</t>
  </si>
  <si>
    <t>Medicine Undergraduates:</t>
  </si>
  <si>
    <t>Nursing and Midwifery Pre-registration:</t>
  </si>
  <si>
    <t>Full-time undergraduates (Scots, Other EU)</t>
  </si>
  <si>
    <t>Consolidation tolerance (&gt;=100)</t>
  </si>
  <si>
    <t>Consolidation tolerance (&lt;100) (FTE)</t>
  </si>
  <si>
    <t>Rest of
UK</t>
  </si>
  <si>
    <t>Intake to the Course</t>
  </si>
  <si>
    <t>Students
on inter-
calating
degrees</t>
  </si>
  <si>
    <t>Eligible
for funding
able to
teach
in the
Gaelic
medium</t>
  </si>
  <si>
    <t>Nursing and Midwifery Pre-registration</t>
  </si>
  <si>
    <t>Initial Teacher Education (BEd and PGDE)
(Scots, Other EU, Rest of UK):</t>
  </si>
  <si>
    <t>Dentistry</t>
  </si>
  <si>
    <t>British
Sign
Language</t>
  </si>
  <si>
    <t>STEM subjects</t>
  </si>
  <si>
    <t>Other subjects</t>
  </si>
  <si>
    <t>Crichton
campus</t>
  </si>
  <si>
    <t>Regional
Coherence</t>
  </si>
  <si>
    <t>Widening
Access</t>
  </si>
  <si>
    <t>Articulation</t>
  </si>
  <si>
    <t>Skills
for
Growth
(Under-
graduate)</t>
  </si>
  <si>
    <t>(41)</t>
  </si>
  <si>
    <t>(42)</t>
  </si>
  <si>
    <t>Taught
post-
graduate</t>
  </si>
  <si>
    <t>Initial
Teacher
Education
Primary</t>
  </si>
  <si>
    <t>Initial
Teacher
Education
Secondary</t>
  </si>
  <si>
    <t>Nursing
and
midwifery
pre-
registration</t>
  </si>
  <si>
    <t>Additional Funded Places</t>
  </si>
  <si>
    <t>SFC
funded
places</t>
  </si>
  <si>
    <t>SRUC</t>
  </si>
  <si>
    <t>Students eligible for funding</t>
  </si>
  <si>
    <t>International</t>
  </si>
  <si>
    <t>Type of student</t>
  </si>
  <si>
    <t>Stage and Year of Course</t>
  </si>
  <si>
    <t>Scheme</t>
  </si>
  <si>
    <t>Allocation of
additional
funded
places</t>
  </si>
  <si>
    <t>Course</t>
  </si>
  <si>
    <t>First degree
level
tuition fee</t>
  </si>
  <si>
    <t>HN level
tuition fee</t>
  </si>
  <si>
    <t>Course / Subject Area</t>
  </si>
  <si>
    <t>Regional Coherence    (*)</t>
  </si>
  <si>
    <t>Community Education   (**)</t>
  </si>
  <si>
    <t>British Sign Language   (**)</t>
  </si>
  <si>
    <t>International Medical University of Malaysia</t>
  </si>
  <si>
    <t>Closed loop programme: Canada</t>
  </si>
  <si>
    <t>Total
(*)</t>
  </si>
  <si>
    <t>(*) The total(s) for students eligible for funding and rest of UK should equal the corresponding totals on Table 1.</t>
  </si>
  <si>
    <t>Num-
ber</t>
  </si>
  <si>
    <t>Crichton</t>
  </si>
  <si>
    <t>(44)</t>
  </si>
  <si>
    <t>(45)</t>
  </si>
  <si>
    <t>(46)</t>
  </si>
  <si>
    <t>(47)</t>
  </si>
  <si>
    <t>(48)</t>
  </si>
  <si>
    <t>(49)</t>
  </si>
  <si>
    <t>5a</t>
  </si>
  <si>
    <t>5b</t>
  </si>
  <si>
    <t>5c</t>
  </si>
  <si>
    <t>5d</t>
  </si>
  <si>
    <t>5e</t>
  </si>
  <si>
    <t>(50)</t>
  </si>
  <si>
    <t>Minimum
of funded
places
and actual
enrol-
ments</t>
  </si>
  <si>
    <t>Postgraduate (Undergraduate fee)</t>
  </si>
  <si>
    <t>Students
in year
2 or
later</t>
  </si>
  <si>
    <t>International Total</t>
  </si>
  <si>
    <t>Intake or
enrolments
missing?</t>
  </si>
  <si>
    <t>Intake inconsistent
with enrolments?</t>
  </si>
  <si>
    <t>Intake or
enrolments missing?</t>
  </si>
  <si>
    <t>Intake or enrolments
missing?</t>
  </si>
  <si>
    <t>Only intake recorded?</t>
  </si>
  <si>
    <t>Intake inconsistent with enrolments?</t>
  </si>
  <si>
    <t>Early Statistics /
Final Figures Tables
Column Number</t>
  </si>
  <si>
    <t>Percentage Difference</t>
  </si>
  <si>
    <t>Dentistry Undergraduates:</t>
  </si>
  <si>
    <t>Scottish Funding Council Early Statistics Return 2014-15: Table 1</t>
  </si>
  <si>
    <t>Scottish Funding Council Early Statistics Return 2014-15</t>
  </si>
  <si>
    <t>Monitoring for Under-enrolments against Funded Places or Breaches of Consolidation, 2014-15</t>
  </si>
  <si>
    <t>Students
eligible
for  
funding
2014-15
from 
Table1</t>
  </si>
  <si>
    <t>Indicative
Numbers 
2014-15</t>
  </si>
  <si>
    <t>Scottish Funding Council Early Statistics Return 2014-15: Table 3</t>
  </si>
  <si>
    <t>Scottish Funding Council Early Statistics Return 2014-15: Table 2c</t>
  </si>
  <si>
    <t>Scottish Funding Council Early Statistics Return 2014-15: Table 2b</t>
  </si>
  <si>
    <t>Scottish Funding Council Early Statistics Return 2014-15: Table 2a</t>
  </si>
  <si>
    <t>Early Statistics 2013-14</t>
  </si>
  <si>
    <t>Final Figures 2013-14</t>
  </si>
  <si>
    <t>Comparison with Early Statistics for 2013-14</t>
  </si>
  <si>
    <t>Comparison with Final Figures for 2013-14</t>
  </si>
  <si>
    <t>Look up
for
Early
Statistics
and
Final
Figures
for
2013-14</t>
  </si>
  <si>
    <t>Pre-clinical
medicine</t>
  </si>
  <si>
    <t>Pre-clinical
dentistry</t>
  </si>
  <si>
    <t>Open University (Completions)</t>
  </si>
  <si>
    <r>
      <rPr>
        <b/>
        <sz val="11"/>
        <rFont val="Calibri"/>
        <family val="2"/>
      </rPr>
      <t>Courses</t>
    </r>
    <r>
      <rPr>
        <sz val="11"/>
        <rFont val="Calibri"/>
        <family val="2"/>
      </rPr>
      <t xml:space="preserve">
(Only those which lead to registration
with the General Teaching Council)</t>
    </r>
  </si>
  <si>
    <t>Check against Table 1</t>
  </si>
  <si>
    <t>Difference
from
Table 1</t>
  </si>
  <si>
    <t>Intake
but no
enrolments</t>
  </si>
  <si>
    <t>Enrolments
but no
intake</t>
  </si>
  <si>
    <t>Intake
greater
than
enrolments</t>
  </si>
  <si>
    <t>Intake
equals
total
enrolments</t>
  </si>
  <si>
    <t>Intake
equals
total
enrolments
and
students
in year
2 or
later</t>
  </si>
  <si>
    <t>Gaelic
headcount
intake
non-zero
but FTE
intake is
missing</t>
  </si>
  <si>
    <t>Level of Study</t>
  </si>
  <si>
    <t>Students Eligible for Funding on Teaching Qualification (Further Education) (TQ(FE)) Courses, 2014-15</t>
  </si>
  <si>
    <r>
      <rPr>
        <b/>
        <sz val="11"/>
        <rFont val="Calibri"/>
        <family val="2"/>
      </rPr>
      <t>Level of Study</t>
    </r>
    <r>
      <rPr>
        <b/>
        <sz val="11"/>
        <color indexed="18"/>
        <rFont val="Calibri"/>
        <family val="2"/>
      </rPr>
      <t xml:space="preserve"> / </t>
    </r>
    <r>
      <rPr>
        <b/>
        <sz val="11"/>
        <color indexed="56"/>
        <rFont val="Calibri"/>
        <family val="2"/>
      </rPr>
      <t>Subject Areas</t>
    </r>
  </si>
  <si>
    <t>Students Eligible for Funding in All Subject Areas and Students Not Eligible for Funding in Controlled Subject Areas</t>
  </si>
  <si>
    <t>Continuing
Rest of UK
(*)</t>
  </si>
  <si>
    <t>Of which associated with Innovation Centres</t>
  </si>
  <si>
    <t>Undergraduate Total</t>
  </si>
  <si>
    <t>Total
enrolments
non-zero
but
intake is
missing</t>
  </si>
  <si>
    <t>Intake
non-zero
but no
enrolments</t>
  </si>
  <si>
    <t>Intake
equals
total
enrolments
and
enrolments
in year 2
or later</t>
  </si>
  <si>
    <t>Scottish Funding Council Early Statistics Return 2014-15: Table 4a</t>
  </si>
  <si>
    <t>4a</t>
  </si>
  <si>
    <t>4b</t>
  </si>
  <si>
    <t>Under-
graduate
Skills
for Growth</t>
  </si>
  <si>
    <t xml:space="preserve">Articul-
ation
</t>
  </si>
  <si>
    <t>Embedded SFC Places from 2013-14</t>
  </si>
  <si>
    <t>Additional SFC Places for 2014-15</t>
  </si>
  <si>
    <t>Total Accumulated Additional SFC Places for:</t>
  </si>
  <si>
    <t>SFC
non-
controlled
funded
places
for
2014-15</t>
  </si>
  <si>
    <t>SFC Controlled Funded Places for 2014-15</t>
  </si>
  <si>
    <t xml:space="preserve">Nursing
and
Midwifery
Pre-
registration   </t>
  </si>
  <si>
    <t>Honours
Nursing</t>
  </si>
  <si>
    <t>Scottish Government Controlled Funded Places for 2014-15</t>
  </si>
  <si>
    <t>Controlled Indicative Numbers for 2014-15</t>
  </si>
  <si>
    <t>Non-
controlled
Indicative
number
for 2014-15</t>
  </si>
  <si>
    <t>(51)</t>
  </si>
  <si>
    <t>Students Eligible for Funding on Initial Teacher Education Courses, 2014-15</t>
  </si>
  <si>
    <t>Students Eligible for Funding Enrolled on Catholic Courses or Modules, 2014-15</t>
  </si>
  <si>
    <t>Intake</t>
  </si>
  <si>
    <t>Year of Programme</t>
  </si>
  <si>
    <t>Scottish Funding Council Early Statistics Return 2014-15: Table 4b</t>
  </si>
  <si>
    <t>Students
eligible for
funding</t>
  </si>
  <si>
    <t>Intake or enrolments missing?</t>
  </si>
  <si>
    <t>Students on Undergraduate Medicine and Dentistry Courses, 2014-15</t>
  </si>
  <si>
    <t>Rest of UK paying deregulated tuition fees</t>
  </si>
  <si>
    <t>Home and Deregulated Tuition Fees</t>
  </si>
  <si>
    <t>Total Home and Deregulated Tuition Fees</t>
  </si>
  <si>
    <t>Total
enrolments
non-zero
but intake
is missing</t>
  </si>
  <si>
    <t>Intake
equals total
enrolments
both non-zero</t>
  </si>
  <si>
    <t>Comparison with Table 1</t>
  </si>
  <si>
    <t>Scottish Funding Council Early Statistics Return 2014-15: Table 5e</t>
  </si>
  <si>
    <t>Use of Additional Funded Places for Crichton Campus</t>
  </si>
  <si>
    <t>Use of Additional Funded Places for 2014-15 for Community Education, British Sign Language, Regional Coherence and Crichton Campus</t>
  </si>
  <si>
    <t>Use of Additional Funded Places for Community Education, British Sign Language and Regional Coherence</t>
  </si>
  <si>
    <t>Use of Additional Funded Places for 2014-15 for Taught Postgraduate Provision</t>
  </si>
  <si>
    <t>Scottish Funding Council Early Statistics Return 2014-15: Table 5c</t>
  </si>
  <si>
    <t>Use of Additional Funded Places for 2014-15 for Undergraduate Skills for Growth</t>
  </si>
  <si>
    <t>Scottish Funding Council Early Statistics Return 2014-15: Table 5d</t>
  </si>
  <si>
    <t>Scottish Funding Council Early Statistics Return 2014-15: Table 5b</t>
  </si>
  <si>
    <t>Use of Additional Funded Places for 2014-15 for Articulation</t>
  </si>
  <si>
    <t>Scottish Funding Council Early Statistics Return 2014-15: Table 5a</t>
  </si>
  <si>
    <t>Intake /
Year of Programme</t>
  </si>
  <si>
    <t>2d</t>
  </si>
  <si>
    <t>PGDE Secondary Subject</t>
  </si>
  <si>
    <t>Art</t>
  </si>
  <si>
    <t>Biology</t>
  </si>
  <si>
    <t>Business Education</t>
  </si>
  <si>
    <t>Chemistry</t>
  </si>
  <si>
    <t>Computing</t>
  </si>
  <si>
    <t>Drama</t>
  </si>
  <si>
    <t>English</t>
  </si>
  <si>
    <t>Gaelic</t>
  </si>
  <si>
    <t>Geography</t>
  </si>
  <si>
    <t>History</t>
  </si>
  <si>
    <t>Home Economics</t>
  </si>
  <si>
    <t>Mathematics</t>
  </si>
  <si>
    <t>Modern Languages</t>
  </si>
  <si>
    <t>Modern Studies</t>
  </si>
  <si>
    <t>Music</t>
  </si>
  <si>
    <t>Physical Education</t>
  </si>
  <si>
    <t>Religious Education</t>
  </si>
  <si>
    <t>Technological Education</t>
  </si>
  <si>
    <t>Physics</t>
  </si>
  <si>
    <t>Single
subject</t>
  </si>
  <si>
    <t>Combined with:</t>
  </si>
  <si>
    <t>Business
Education</t>
  </si>
  <si>
    <t>Physical
Education</t>
  </si>
  <si>
    <t>Religious
Education</t>
  </si>
  <si>
    <t>Modern
Studies</t>
  </si>
  <si>
    <t>Home
Economics</t>
  </si>
  <si>
    <t>Modern
Languages</t>
  </si>
  <si>
    <t>Mathe-
matics</t>
  </si>
  <si>
    <t>Combined
total</t>
  </si>
  <si>
    <t>Techn-
ological
Education</t>
  </si>
  <si>
    <t>Total
number of
students
training for
subject  (*)</t>
  </si>
  <si>
    <t>(*) Students are counted against both subjects if they are training to teach two subjects.</t>
  </si>
  <si>
    <t>Check against Table 2a</t>
  </si>
  <si>
    <t>Table 2a</t>
  </si>
  <si>
    <t>Difference
from
Table 2a</t>
  </si>
  <si>
    <t>SFC Early Statistics Return 2014-15</t>
  </si>
  <si>
    <t>Contents</t>
  </si>
  <si>
    <t>Table</t>
  </si>
  <si>
    <t>Completed
by
Institution</t>
  </si>
  <si>
    <t>Subjects Students Eligible for Funding in the Intake to PGDE Secondary Courses are Training to Teach, 2014-15</t>
  </si>
  <si>
    <t>Use of Additional Funded Places for 2014-15 for Widening Access</t>
  </si>
  <si>
    <t>YES</t>
  </si>
  <si>
    <t>For Info</t>
  </si>
  <si>
    <t>Students Eligible for Funding in the Intake to PGDE Secondary Courses, 2014-15: Subjects Training to Teach</t>
  </si>
  <si>
    <t>Scottish Funding Council Early Statistics Return 2014-15: Table 2d</t>
  </si>
  <si>
    <t>Level of Study / Branch</t>
  </si>
  <si>
    <t>Difference</t>
  </si>
  <si>
    <t>Allocation of additional funded places</t>
  </si>
  <si>
    <t>Minimum
of funded
places
and actual
enrolments</t>
  </si>
  <si>
    <t>College</t>
  </si>
  <si>
    <t>Entrants Articulating at a Further Education College</t>
  </si>
  <si>
    <t>Undergraduate entrants from the 40 per cent most deprived areas   (*)</t>
  </si>
  <si>
    <t>(*) Enter the FTE number of places that have been filled. You do not have to return the total number of entrants articulating</t>
  </si>
  <si>
    <t xml:space="preserve">     at a further education college.</t>
  </si>
  <si>
    <t>Entrants
to the
relevant
undergraduate
courses</t>
  </si>
  <si>
    <t xml:space="preserve">     number of undergraduate entrants from the 40 per cent most deprived areas.</t>
  </si>
  <si>
    <t>(*) Enter the FTE number of places that have been filled. You do not have to return the total</t>
  </si>
  <si>
    <t>(*) Enter the FTE number of places that have been filled.  You do not have to return the total number of students</t>
  </si>
  <si>
    <t xml:space="preserve">     eligible for funding entering the undergraduate courses for which additional places were allocated.</t>
  </si>
  <si>
    <t>Students
eligible
for funding
(*) (**)</t>
  </si>
  <si>
    <t>(*) For Regional Coherence enter the FTE number of places that have been filled.  You do not have to</t>
  </si>
  <si>
    <t xml:space="preserve">     return the total FTE number of students eligible for funding on the relevant courses.</t>
  </si>
  <si>
    <t>(**) For Community Education and British Sign Language enter the total FTE number of students</t>
  </si>
  <si>
    <t xml:space="preserve">        eligible for funding on the relevant courses.</t>
  </si>
  <si>
    <t>All
students
eligible
for  
funding in
2014-15
from 
table1</t>
  </si>
  <si>
    <t>Non-controlled
subject areas</t>
  </si>
  <si>
    <t>Non-controlled subject areas, excluding strategic funded places and
associated students eligible for funding in tables 5a to 5e</t>
  </si>
  <si>
    <t>Funded
places</t>
  </si>
  <si>
    <t>Students
eligible
for  
funding in
2014-15</t>
  </si>
  <si>
    <t>Students eligible for funding compared to funded places</t>
  </si>
  <si>
    <t>Controlled subject areas, 2014-15</t>
  </si>
  <si>
    <t>Non-controlled subject areas, 2014-15</t>
  </si>
  <si>
    <t>Indicative student numbers, 2014-15</t>
  </si>
  <si>
    <t>Scottish and other EU full-time and sandwich undergraduate students eligible for funding compared to Indicative student numbers for non-controlled subject areas</t>
  </si>
  <si>
    <t>Students eligible for funding and rest of UK stduents paying deregulated tuition fees compared to Indicative student numbers for controlled subject areas</t>
  </si>
  <si>
    <t>Difference between
student numbers and
Indicative Number</t>
  </si>
  <si>
    <t>Relevant
student
numbers</t>
  </si>
  <si>
    <t>Students Eligible for Funding on Previously Controlled Nursing and Midwifery Pre-registration courses, 2014-15</t>
  </si>
  <si>
    <t>Students Eligible for Funding on Controlled Four-year Nursing Degree courses, 2014-15</t>
  </si>
  <si>
    <t>Use of Additional Funded Places for Community Education, British Sign Language, Regional Coherence and Crichton Campus, 2014-15</t>
  </si>
  <si>
    <t>Use of Additional Funded Places for Taught Postgraduate Provision, 2014-15</t>
  </si>
  <si>
    <t>Students
on the
relevant
taught
postgraduate
courses</t>
  </si>
  <si>
    <t>Previously controlled nursing and midwifery</t>
  </si>
  <si>
    <t>Controlled Four-year Nursing Degrees</t>
  </si>
  <si>
    <t>Previously Controlled</t>
  </si>
  <si>
    <t>Controlled Four-year Degree - Entrants</t>
  </si>
  <si>
    <t>Students Eligible for Funding in All Subject Areas and Students Not Eligible for Funding in Controlled Subject Areas, 2014-15</t>
  </si>
  <si>
    <t>(*) 'Continuing rest of UK' are those students who are eligible for funding because they started their courses prior to 2012-13, but would not have been eligible for funding if they had started in 2012-13 or later because</t>
  </si>
  <si>
    <t xml:space="preserve">     they would have been paying deregulated tuition fees.  </t>
  </si>
  <si>
    <t>Full-time
and
sandwich
(excluding
short
full-time)</t>
  </si>
  <si>
    <t>Part-time
(including
short
full-time)</t>
  </si>
  <si>
    <t>Total for
Controlled
Subject
Areas for
Monitoring
Consolidation
for Scots /
Other EU /
Rest of UK</t>
  </si>
  <si>
    <t>See Notes of Guidance, Paragraphs 69 to 72</t>
  </si>
  <si>
    <t>See Notes of Guidance, Paragraph 73</t>
  </si>
  <si>
    <t>See Notes of Guidance, Paragraphs 74 and 75</t>
  </si>
  <si>
    <t>See Notes of Guidance, Paragraphs 76 to 80</t>
  </si>
  <si>
    <t>See Notes of Guidance, Paragraphs 81 to 86</t>
  </si>
  <si>
    <t>See Notes of Guidance, Paragraphs 87 to 95</t>
  </si>
  <si>
    <t>See Notes of Guidance, Paragraphs 96 to 99</t>
  </si>
  <si>
    <t>See Notes of Guidance, Paragraphs 103 to 105</t>
  </si>
  <si>
    <t>An individual student should not be counted in more than one of the tables 5a to 5e.</t>
  </si>
  <si>
    <t>See Notes of Guidance, Paragraphs 106 to 109</t>
  </si>
  <si>
    <t>See Notes of Guidance, Paragraphs 110 to 112</t>
  </si>
  <si>
    <t>See Notes of Guidance, Paragraphs 113 to 115</t>
  </si>
  <si>
    <t>See Notes of Guidance, Paragraphs 116 to 119</t>
  </si>
  <si>
    <t>(*) Enter the total FTE number of students eligible for funding at Crichton campus.</t>
  </si>
  <si>
    <t>See Notes of Guidance, Paragraphs 120 to 122</t>
  </si>
  <si>
    <t xml:space="preserve">     eligible for funding on the taught postgraduate courses for which additional places were allocated.</t>
  </si>
  <si>
    <t>Dumfries and Galloway College</t>
  </si>
  <si>
    <t>West College</t>
  </si>
  <si>
    <t>Borders College</t>
  </si>
  <si>
    <t>School of Life Sciences</t>
  </si>
  <si>
    <t>MA Primary Education</t>
  </si>
  <si>
    <t>BSc Environmental Stewardship</t>
  </si>
  <si>
    <t>MLitt Theatre Practices</t>
  </si>
  <si>
    <t>MLitt in Playwriting and Dramaturgy</t>
  </si>
  <si>
    <t>MLitt Art History: Art: Politics: Transgression: 20th Century Avant-Gardes</t>
  </si>
  <si>
    <t>MLitt Art History: History of Collecting and Collections</t>
  </si>
  <si>
    <t>MLitt Art History:  Dress and Textile Histories</t>
  </si>
  <si>
    <t>MLitt Material Culture and Artefact Studies</t>
  </si>
  <si>
    <t>MRes Biomedical Sciences (Mammelian Biology)</t>
  </si>
  <si>
    <t>MSc Animal Welfare Science, Ethics&amp; Law</t>
  </si>
  <si>
    <t>MSc Medical Visualiation and Human Anatomy</t>
  </si>
  <si>
    <t>MSc in Information Technology</t>
  </si>
  <si>
    <t>MSC IN SOFTWARE DEVELOPMENT</t>
  </si>
  <si>
    <t>MSc Aeronautical Engineering</t>
  </si>
  <si>
    <t>MSc in Nanoscience and Nanotechnology</t>
  </si>
  <si>
    <t>MSc Financial Risk Management</t>
  </si>
  <si>
    <t>MSc Investment Fund Management</t>
  </si>
  <si>
    <t>MLitt Environment, Culture and Communication</t>
  </si>
  <si>
    <t>MSc Tourism,Heritage and Sustainability</t>
  </si>
  <si>
    <t>MSc City Planning and Real Estate Development</t>
  </si>
  <si>
    <t>MSc Real Estate</t>
  </si>
  <si>
    <t>MSc Real Estate and Regeneration</t>
  </si>
  <si>
    <t>PG Certificate Real Estate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</si>
</sst>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3" formatCode="_-* #,##0.00_-;\-* #,##0.00_-;_-* &quot;-&quot;??_-;_-@_-"/>
    <numFmt numFmtId="164" formatCode="#,##0\ \ \ "/>
    <numFmt numFmtId="165" formatCode="#,##0\ \ "/>
    <numFmt numFmtId="166" formatCode="0.0%"/>
    <numFmt numFmtId="167" formatCode="#,##0.0\ \ ;\-#,##0.0\ \ ;\ \ "/>
    <numFmt numFmtId="168" formatCode="#,##0.0\ \ \ ;\-#,##0.0\ \ \ "/>
    <numFmt numFmtId="169" formatCode="0\ \ "/>
    <numFmt numFmtId="170" formatCode="#,##0\ \ ;\-#,##0\ \ ;\ \ "/>
    <numFmt numFmtId="171" formatCode="_(* #,##0.00_);_(* \(#,##0.00\);_(* &quot;-&quot;??_);_(@_)"/>
    <numFmt numFmtId="172" formatCode="#,##0.0\ \ \ ;\-#,##0.0\ \ \ ;"/>
    <numFmt numFmtId="173" formatCode="#,##0.0"/>
    <numFmt numFmtId="174" formatCode="#,##0\ \ ;\-#,##0\ \ ;\-\ \ "/>
    <numFmt numFmtId="175" formatCode="#,##0.0\ \ ;\-#,##0.0\ \ ;\-\ \ "/>
    <numFmt numFmtId="176" formatCode="0.0%\ \ "/>
    <numFmt numFmtId="177" formatCode="#,##0;\-#,##0;\-"/>
    <numFmt numFmtId="178" formatCode="#,##0.0\ \ ;\-#,##0.0\ \ ;"/>
    <numFmt numFmtId="179" formatCode="#,##0.0\ \ \ ;\-#,##0.0\ \ \ ;0.0\ \ "/>
    <numFmt numFmtId="180" formatCode="#,##0.0\ \ ;\-#,##0.0\ \ ;0.0\ \ "/>
    <numFmt numFmtId="181" formatCode="#,##0\ \ ;\-#,##0\ \ ;0\ \ "/>
    <numFmt numFmtId="182" formatCode="#,##0\ \ ;\-#,##0\ \ ;\ \ \ "/>
    <numFmt numFmtId="183" formatCode="#,##0.0;\-#,##0.0;\-"/>
    <numFmt numFmtId="184" formatCode="#,##0.0\ \ ;#,##0.0\ \ ;\-\ \ "/>
    <numFmt numFmtId="185" formatCode="#,##0.0\ \ ;\-#,##0.0\ \ ;\ \ \ "/>
    <numFmt numFmtId="186" formatCode="#,##0.00\ \ ;\-#,##0.00\ \ ;0.00\ \ "/>
    <numFmt numFmtId="187" formatCode="#,##0.0_ ;\-#,##0.0\ "/>
  </numFmts>
  <fonts count="30">
    <font>
      <sz val="10"/>
      <name val="Arial"/>
    </font>
    <font>
      <sz val="10"/>
      <name val="Arial MT"/>
    </font>
    <font>
      <sz val="10"/>
      <name val="Arial"/>
      <family val="2"/>
    </font>
    <font>
      <sz val="10"/>
      <name val="Arial"/>
      <family val="2"/>
    </font>
    <font>
      <sz val="8"/>
      <name val="Arial"/>
      <family val="2"/>
    </font>
    <font>
      <sz val="11"/>
      <color indexed="8"/>
      <name val="Calibri"/>
      <family val="2"/>
    </font>
    <font>
      <sz val="11"/>
      <name val="Calibri"/>
      <family val="2"/>
    </font>
    <font>
      <b/>
      <sz val="11"/>
      <name val="Calibri"/>
      <family val="2"/>
    </font>
    <font>
      <sz val="11"/>
      <color rgb="FFFF0000"/>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indexed="10"/>
      <name val="Calibri"/>
      <family val="2"/>
    </font>
    <font>
      <b/>
      <sz val="11"/>
      <color indexed="10"/>
      <name val="Calibri"/>
      <family val="2"/>
    </font>
    <font>
      <sz val="11"/>
      <color indexed="27"/>
      <name val="Calibri"/>
      <family val="2"/>
    </font>
    <font>
      <sz val="11"/>
      <color rgb="FFCCFFFF"/>
      <name val="Calibri"/>
      <family val="2"/>
    </font>
    <font>
      <u/>
      <sz val="11"/>
      <name val="Calibri"/>
      <family val="2"/>
    </font>
    <font>
      <b/>
      <sz val="11"/>
      <color indexed="8"/>
      <name val="Calibri"/>
      <family val="2"/>
    </font>
    <font>
      <u/>
      <sz val="11"/>
      <color indexed="10"/>
      <name val="Calibri"/>
      <family val="2"/>
    </font>
    <font>
      <b/>
      <sz val="11"/>
      <color indexed="18"/>
      <name val="Calibri"/>
      <family val="2"/>
    </font>
    <font>
      <b/>
      <sz val="11"/>
      <color indexed="20"/>
      <name val="Calibri"/>
      <family val="2"/>
    </font>
    <font>
      <b/>
      <sz val="11"/>
      <color theme="3" tint="-0.24994659260841701"/>
      <name val="Calibri"/>
      <family val="2"/>
    </font>
    <font>
      <sz val="11"/>
      <color theme="3" tint="-0.24994659260841701"/>
      <name val="Calibri"/>
      <family val="2"/>
    </font>
    <font>
      <b/>
      <sz val="11"/>
      <color indexed="56"/>
      <name val="Calibri"/>
      <family val="2"/>
    </font>
    <font>
      <b/>
      <sz val="11"/>
      <color theme="5"/>
      <name val="Calibri"/>
      <family val="2"/>
    </font>
    <font>
      <sz val="18"/>
      <color indexed="10"/>
      <name val="Calibri"/>
      <family val="2"/>
    </font>
    <font>
      <sz val="12"/>
      <name val="Calibri"/>
      <family val="2"/>
    </font>
    <font>
      <b/>
      <sz val="16"/>
      <color rgb="FFFF0000"/>
      <name val="Calibri"/>
      <family val="2"/>
    </font>
    <font>
      <b/>
      <sz val="12"/>
      <name val="Calibri"/>
      <family val="2"/>
    </font>
    <font>
      <b/>
      <sz val="11"/>
      <color rgb="FFCCFFFF"/>
      <name val="Calibri"/>
      <family val="2"/>
    </font>
  </fonts>
  <fills count="18">
    <fill>
      <patternFill patternType="none"/>
    </fill>
    <fill>
      <patternFill patternType="gray125"/>
    </fill>
    <fill>
      <patternFill patternType="solid">
        <fgColor indexed="41"/>
        <bgColor indexed="64"/>
      </patternFill>
    </fill>
    <fill>
      <patternFill patternType="solid">
        <fgColor indexed="41"/>
        <bgColor indexed="35"/>
      </patternFill>
    </fill>
    <fill>
      <patternFill patternType="solid">
        <fgColor indexed="27"/>
        <bgColor indexed="35"/>
      </patternFill>
    </fill>
    <fill>
      <patternFill patternType="solid">
        <fgColor indexed="27"/>
        <bgColor indexed="64"/>
      </patternFill>
    </fill>
    <fill>
      <patternFill patternType="solid">
        <fgColor indexed="26"/>
        <bgColor indexed="43"/>
      </patternFill>
    </fill>
    <fill>
      <patternFill patternType="solid">
        <fgColor indexed="26"/>
        <bgColor indexed="64"/>
      </patternFill>
    </fill>
    <fill>
      <patternFill patternType="solid">
        <fgColor indexed="27"/>
        <bgColor indexed="15"/>
      </patternFill>
    </fill>
    <fill>
      <patternFill patternType="solid">
        <fgColor rgb="FFCCFFFF"/>
        <bgColor indexed="64"/>
      </patternFill>
    </fill>
    <fill>
      <patternFill patternType="solid">
        <fgColor rgb="FFCCFFFF"/>
        <bgColor indexed="35"/>
      </patternFill>
    </fill>
    <fill>
      <patternFill patternType="solid">
        <fgColor theme="7" tint="0.59996337778862885"/>
        <bgColor indexed="43"/>
      </patternFill>
    </fill>
    <fill>
      <patternFill patternType="solid">
        <fgColor theme="7" tint="0.59996337778862885"/>
        <bgColor indexed="64"/>
      </patternFill>
    </fill>
    <fill>
      <patternFill patternType="solid">
        <fgColor rgb="FF7030A0"/>
        <bgColor indexed="64"/>
      </patternFill>
    </fill>
    <fill>
      <patternFill patternType="solid">
        <fgColor rgb="FF7030A0"/>
        <bgColor indexed="15"/>
      </patternFill>
    </fill>
    <fill>
      <patternFill patternType="solid">
        <fgColor rgb="FFFFFFFF"/>
        <bgColor indexed="15"/>
      </patternFill>
    </fill>
    <fill>
      <patternFill patternType="solid">
        <fgColor rgb="FFCCFFFF"/>
        <bgColor indexed="15"/>
      </patternFill>
    </fill>
    <fill>
      <patternFill patternType="solid">
        <fgColor theme="0" tint="-0.24994659260841701"/>
        <bgColor indexed="64"/>
      </patternFill>
    </fill>
  </fills>
  <borders count="121">
    <border>
      <left/>
      <right/>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8"/>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8"/>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dashed">
        <color indexed="64"/>
      </left>
      <right style="medium">
        <color indexed="64"/>
      </right>
      <top/>
      <bottom style="thin">
        <color indexed="64"/>
      </bottom>
      <diagonal/>
    </border>
    <border>
      <left style="dashed">
        <color indexed="64"/>
      </left>
      <right style="medium">
        <color indexed="64"/>
      </right>
      <top/>
      <bottom style="medium">
        <color indexed="64"/>
      </bottom>
      <diagonal/>
    </border>
    <border>
      <left/>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8"/>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right style="thin">
        <color indexed="8"/>
      </right>
      <top/>
      <bottom/>
      <diagonal/>
    </border>
    <border>
      <left style="thin">
        <color indexed="8"/>
      </left>
      <right style="medium">
        <color indexed="64"/>
      </right>
      <top/>
      <bottom/>
      <diagonal/>
    </border>
    <border>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right style="medium">
        <color indexed="64"/>
      </right>
      <top style="thin">
        <color indexed="64"/>
      </top>
      <bottom style="thin">
        <color indexed="8"/>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8"/>
      </bottom>
      <diagonal/>
    </border>
    <border>
      <left style="medium">
        <color indexed="64"/>
      </left>
      <right style="medium">
        <color indexed="64"/>
      </right>
      <top style="thin">
        <color indexed="64"/>
      </top>
      <bottom/>
      <diagonal/>
    </border>
    <border>
      <left/>
      <right style="medium">
        <color indexed="64"/>
      </right>
      <top/>
      <bottom style="thin">
        <color indexed="8"/>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64"/>
      </bottom>
      <diagonal/>
    </border>
    <border>
      <left/>
      <right style="thin">
        <color indexed="8"/>
      </right>
      <top/>
      <bottom style="thin">
        <color indexed="64"/>
      </bottom>
      <diagonal/>
    </border>
    <border>
      <left style="medium">
        <color indexed="64"/>
      </left>
      <right style="medium">
        <color indexed="64"/>
      </right>
      <top style="medium">
        <color indexed="64"/>
      </top>
      <bottom style="thin">
        <color indexed="64"/>
      </bottom>
      <diagonal/>
    </border>
    <border>
      <left/>
      <right style="thin">
        <color auto="1"/>
      </right>
      <top/>
      <bottom/>
      <diagonal/>
    </border>
    <border>
      <left style="thin">
        <color auto="1"/>
      </left>
      <right/>
      <top style="thin">
        <color auto="1"/>
      </top>
      <bottom style="thin">
        <color auto="1"/>
      </bottom>
      <diagonal/>
    </border>
    <border>
      <left style="thin">
        <color auto="1"/>
      </left>
      <right/>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thin">
        <color indexed="8"/>
      </right>
      <top style="thin">
        <color indexed="64"/>
      </top>
      <bottom style="thin">
        <color indexed="64"/>
      </bottom>
      <diagonal/>
    </border>
    <border>
      <left style="thin">
        <color indexed="8"/>
      </left>
      <right style="medium">
        <color indexed="64"/>
      </right>
      <top style="thin">
        <color indexed="8"/>
      </top>
      <bottom/>
      <diagonal/>
    </border>
  </borders>
  <cellStyleXfs count="13">
    <xf numFmtId="0" fontId="0" fillId="0" borderId="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0" fontId="3" fillId="0" borderId="0"/>
    <xf numFmtId="0" fontId="4" fillId="0" borderId="0"/>
    <xf numFmtId="0" fontId="3" fillId="0" borderId="0"/>
    <xf numFmtId="0" fontId="1" fillId="0" borderId="0"/>
    <xf numFmtId="0" fontId="5" fillId="0" borderId="0"/>
    <xf numFmtId="0" fontId="1" fillId="0" borderId="0"/>
    <xf numFmtId="0" fontId="1" fillId="0" borderId="0"/>
    <xf numFmtId="0" fontId="2" fillId="0" borderId="0"/>
    <xf numFmtId="0" fontId="2" fillId="0" borderId="0"/>
  </cellStyleXfs>
  <cellXfs count="1798">
    <xf numFmtId="0" fontId="0" fillId="0" borderId="0" xfId="0"/>
    <xf numFmtId="0" fontId="10" fillId="0" borderId="0" xfId="0" applyFont="1" applyFill="1" applyBorder="1" applyAlignment="1" applyProtection="1">
      <protection hidden="1"/>
    </xf>
    <xf numFmtId="0" fontId="9" fillId="0" borderId="0" xfId="0" applyFont="1" applyFill="1" applyProtection="1">
      <protection hidden="1"/>
    </xf>
    <xf numFmtId="172" fontId="10" fillId="0" borderId="0" xfId="0" applyNumberFormat="1" applyFont="1" applyFill="1" applyBorder="1" applyAlignment="1" applyProtection="1">
      <protection hidden="1"/>
    </xf>
    <xf numFmtId="0" fontId="9" fillId="0" borderId="0" xfId="10" applyFont="1" applyFill="1" applyBorder="1" applyProtection="1">
      <protection hidden="1"/>
    </xf>
    <xf numFmtId="177" fontId="9" fillId="0" borderId="0" xfId="0" applyNumberFormat="1" applyFont="1" applyFill="1" applyAlignment="1" applyProtection="1">
      <alignment horizontal="center"/>
      <protection hidden="1"/>
    </xf>
    <xf numFmtId="172" fontId="9" fillId="0" borderId="0" xfId="0" applyNumberFormat="1" applyFont="1" applyFill="1" applyProtection="1">
      <protection hidden="1"/>
    </xf>
    <xf numFmtId="0" fontId="9" fillId="0" borderId="0" xfId="10" applyFont="1" applyFill="1" applyBorder="1" applyAlignment="1" applyProtection="1">
      <alignment horizontal="center"/>
      <protection hidden="1"/>
    </xf>
    <xf numFmtId="172" fontId="10" fillId="0" borderId="28" xfId="0" applyNumberFormat="1" applyFont="1" applyFill="1" applyBorder="1" applyAlignment="1" applyProtection="1">
      <alignment horizontal="center" vertical="center"/>
      <protection hidden="1"/>
    </xf>
    <xf numFmtId="3" fontId="10" fillId="0" borderId="28" xfId="0" applyNumberFormat="1" applyFont="1" applyFill="1" applyBorder="1" applyAlignment="1" applyProtection="1">
      <alignment horizontal="center" vertical="center"/>
      <protection hidden="1"/>
    </xf>
    <xf numFmtId="3" fontId="10" fillId="0" borderId="42" xfId="0" applyNumberFormat="1" applyFont="1" applyFill="1" applyBorder="1" applyAlignment="1" applyProtection="1">
      <alignment horizontal="center" vertical="center"/>
      <protection hidden="1"/>
    </xf>
    <xf numFmtId="0" fontId="10" fillId="0" borderId="32" xfId="0" applyNumberFormat="1" applyFont="1" applyFill="1" applyBorder="1" applyAlignment="1" applyProtection="1">
      <alignment horizontal="center" vertical="center" wrapText="1"/>
      <protection hidden="1"/>
    </xf>
    <xf numFmtId="0" fontId="10" fillId="0" borderId="33" xfId="0" applyNumberFormat="1" applyFont="1" applyFill="1" applyBorder="1" applyAlignment="1" applyProtection="1">
      <alignment horizontal="center" vertical="center" wrapText="1"/>
      <protection hidden="1"/>
    </xf>
    <xf numFmtId="177" fontId="9" fillId="0" borderId="7" xfId="0" applyNumberFormat="1" applyFont="1" applyFill="1" applyBorder="1" applyAlignment="1" applyProtection="1">
      <alignment horizontal="center"/>
      <protection hidden="1"/>
    </xf>
    <xf numFmtId="182" fontId="9" fillId="0" borderId="2" xfId="0" applyNumberFormat="1" applyFont="1" applyFill="1" applyBorder="1" applyAlignment="1" applyProtection="1">
      <protection hidden="1"/>
    </xf>
    <xf numFmtId="182" fontId="9" fillId="0" borderId="8" xfId="0" applyNumberFormat="1" applyFont="1" applyFill="1" applyBorder="1" applyAlignment="1" applyProtection="1">
      <protection hidden="1"/>
    </xf>
    <xf numFmtId="177" fontId="9" fillId="0" borderId="2" xfId="0" applyNumberFormat="1" applyFont="1" applyFill="1" applyBorder="1" applyAlignment="1" applyProtection="1">
      <alignment horizontal="center"/>
      <protection hidden="1"/>
    </xf>
    <xf numFmtId="177" fontId="9" fillId="0" borderId="13" xfId="0" applyNumberFormat="1" applyFont="1" applyFill="1" applyBorder="1" applyAlignment="1" applyProtection="1">
      <alignment horizontal="center" vertical="center"/>
      <protection hidden="1"/>
    </xf>
    <xf numFmtId="182" fontId="9" fillId="0" borderId="72" xfId="0" applyNumberFormat="1" applyFont="1" applyFill="1" applyBorder="1" applyAlignment="1" applyProtection="1">
      <alignment vertical="center"/>
      <protection hidden="1"/>
    </xf>
    <xf numFmtId="182" fontId="9" fillId="0" borderId="16" xfId="0" applyNumberFormat="1" applyFont="1" applyFill="1" applyBorder="1" applyAlignment="1" applyProtection="1">
      <alignment vertical="center"/>
      <protection hidden="1"/>
    </xf>
    <xf numFmtId="0" fontId="10" fillId="0" borderId="1" xfId="4" applyFont="1" applyFill="1" applyBorder="1" applyAlignment="1" applyProtection="1">
      <alignment horizontal="left" indent="1"/>
      <protection hidden="1"/>
    </xf>
    <xf numFmtId="175" fontId="9" fillId="0" borderId="44" xfId="4" applyNumberFormat="1" applyFont="1" applyFill="1" applyBorder="1" applyAlignment="1" applyProtection="1">
      <protection hidden="1"/>
    </xf>
    <xf numFmtId="175" fontId="9" fillId="0" borderId="5" xfId="4" applyNumberFormat="1" applyFont="1" applyFill="1" applyBorder="1" applyAlignment="1" applyProtection="1">
      <protection hidden="1"/>
    </xf>
    <xf numFmtId="175" fontId="10" fillId="0" borderId="44" xfId="4" applyNumberFormat="1" applyFont="1" applyFill="1" applyBorder="1" applyAlignment="1" applyProtection="1">
      <protection hidden="1"/>
    </xf>
    <xf numFmtId="175" fontId="9" fillId="0" borderId="71" xfId="4" applyNumberFormat="1" applyFont="1" applyFill="1" applyBorder="1" applyAlignment="1" applyProtection="1">
      <protection hidden="1"/>
    </xf>
    <xf numFmtId="175" fontId="9" fillId="0" borderId="4" xfId="4" applyNumberFormat="1" applyFont="1" applyFill="1" applyBorder="1" applyAlignment="1" applyProtection="1">
      <protection hidden="1"/>
    </xf>
    <xf numFmtId="0" fontId="10" fillId="0" borderId="2" xfId="4" applyFont="1" applyFill="1" applyBorder="1" applyAlignment="1" applyProtection="1">
      <alignment horizontal="left" vertical="center" indent="1"/>
      <protection hidden="1"/>
    </xf>
    <xf numFmtId="0" fontId="9" fillId="0" borderId="9" xfId="4" applyFont="1" applyFill="1" applyBorder="1" applyProtection="1">
      <protection hidden="1"/>
    </xf>
    <xf numFmtId="0" fontId="9" fillId="0" borderId="7" xfId="4" applyFont="1" applyFill="1" applyBorder="1" applyProtection="1">
      <protection hidden="1"/>
    </xf>
    <xf numFmtId="0" fontId="9" fillId="0" borderId="6" xfId="4" applyFont="1" applyFill="1" applyBorder="1" applyProtection="1">
      <protection hidden="1"/>
    </xf>
    <xf numFmtId="0" fontId="9" fillId="0" borderId="8" xfId="4" applyFont="1" applyFill="1" applyBorder="1" applyProtection="1">
      <protection hidden="1"/>
    </xf>
    <xf numFmtId="0" fontId="10" fillId="0" borderId="2" xfId="4" applyFont="1" applyFill="1" applyBorder="1" applyAlignment="1" applyProtection="1">
      <alignment horizontal="left" vertical="center" indent="3"/>
      <protection hidden="1"/>
    </xf>
    <xf numFmtId="0" fontId="9" fillId="0" borderId="2" xfId="4" applyFont="1" applyFill="1" applyBorder="1" applyAlignment="1" applyProtection="1">
      <alignment horizontal="left" vertical="center" indent="4"/>
      <protection hidden="1"/>
    </xf>
    <xf numFmtId="175" fontId="9" fillId="0" borderId="9" xfId="4" applyNumberFormat="1" applyFont="1" applyFill="1" applyBorder="1" applyAlignment="1" applyProtection="1">
      <alignment vertical="center"/>
      <protection hidden="1"/>
    </xf>
    <xf numFmtId="175" fontId="9" fillId="0" borderId="7" xfId="4" applyNumberFormat="1" applyFont="1" applyFill="1" applyBorder="1" applyAlignment="1" applyProtection="1">
      <alignment vertical="center"/>
      <protection hidden="1"/>
    </xf>
    <xf numFmtId="175" fontId="10" fillId="0" borderId="9" xfId="4" applyNumberFormat="1" applyFont="1" applyFill="1" applyBorder="1" applyAlignment="1" applyProtection="1">
      <alignment vertical="center"/>
      <protection hidden="1"/>
    </xf>
    <xf numFmtId="175" fontId="9" fillId="0" borderId="6" xfId="4" applyNumberFormat="1" applyFont="1" applyFill="1" applyBorder="1" applyAlignment="1" applyProtection="1">
      <alignment vertical="center"/>
      <protection hidden="1"/>
    </xf>
    <xf numFmtId="175" fontId="9" fillId="0" borderId="8" xfId="4" applyNumberFormat="1" applyFont="1" applyFill="1" applyBorder="1" applyAlignment="1" applyProtection="1">
      <alignment vertical="center"/>
      <protection hidden="1"/>
    </xf>
    <xf numFmtId="175" fontId="10" fillId="0" borderId="7" xfId="4" applyNumberFormat="1" applyFont="1" applyFill="1" applyBorder="1" applyAlignment="1" applyProtection="1">
      <alignment vertical="center"/>
      <protection hidden="1"/>
    </xf>
    <xf numFmtId="175" fontId="10" fillId="0" borderId="6" xfId="4" applyNumberFormat="1" applyFont="1" applyFill="1" applyBorder="1" applyAlignment="1" applyProtection="1">
      <alignment vertical="center"/>
      <protection hidden="1"/>
    </xf>
    <xf numFmtId="175" fontId="10" fillId="0" borderId="8" xfId="4" applyNumberFormat="1" applyFont="1" applyFill="1" applyBorder="1" applyAlignment="1" applyProtection="1">
      <alignment vertical="center"/>
      <protection hidden="1"/>
    </xf>
    <xf numFmtId="0" fontId="9" fillId="0" borderId="2" xfId="4" applyFont="1" applyFill="1" applyBorder="1" applyAlignment="1" applyProtection="1">
      <alignment horizontal="left" vertical="center" indent="5"/>
      <protection hidden="1"/>
    </xf>
    <xf numFmtId="0" fontId="9" fillId="0" borderId="2" xfId="4" applyFont="1" applyFill="1" applyBorder="1" applyAlignment="1" applyProtection="1">
      <alignment horizontal="left" indent="4"/>
      <protection hidden="1"/>
    </xf>
    <xf numFmtId="175" fontId="9" fillId="0" borderId="9" xfId="4" applyNumberFormat="1" applyFont="1" applyFill="1" applyBorder="1" applyAlignment="1" applyProtection="1">
      <protection hidden="1"/>
    </xf>
    <xf numFmtId="175" fontId="9" fillId="0" borderId="7" xfId="4" applyNumberFormat="1" applyFont="1" applyFill="1" applyBorder="1" applyAlignment="1" applyProtection="1">
      <protection hidden="1"/>
    </xf>
    <xf numFmtId="175" fontId="10" fillId="0" borderId="9" xfId="4" applyNumberFormat="1" applyFont="1" applyFill="1" applyBorder="1" applyAlignment="1" applyProtection="1">
      <protection hidden="1"/>
    </xf>
    <xf numFmtId="175" fontId="9" fillId="0" borderId="6" xfId="4" applyNumberFormat="1" applyFont="1" applyFill="1" applyBorder="1" applyAlignment="1" applyProtection="1">
      <protection hidden="1"/>
    </xf>
    <xf numFmtId="175" fontId="9" fillId="0" borderId="8" xfId="4" applyNumberFormat="1" applyFont="1" applyFill="1" applyBorder="1" applyAlignment="1" applyProtection="1">
      <protection hidden="1"/>
    </xf>
    <xf numFmtId="175" fontId="10" fillId="0" borderId="14" xfId="4" applyNumberFormat="1" applyFont="1" applyFill="1" applyBorder="1" applyAlignment="1" applyProtection="1">
      <alignment vertical="center"/>
      <protection hidden="1"/>
    </xf>
    <xf numFmtId="175" fontId="10" fillId="0" borderId="13" xfId="4" applyNumberFormat="1" applyFont="1" applyFill="1" applyBorder="1" applyAlignment="1" applyProtection="1">
      <alignment vertical="center"/>
      <protection hidden="1"/>
    </xf>
    <xf numFmtId="175" fontId="10" fillId="0" borderId="15" xfId="4" applyNumberFormat="1" applyFont="1" applyFill="1" applyBorder="1" applyAlignment="1" applyProtection="1">
      <alignment vertical="center"/>
      <protection hidden="1"/>
    </xf>
    <xf numFmtId="175" fontId="10" fillId="0" borderId="16" xfId="4" applyNumberFormat="1" applyFont="1" applyFill="1" applyBorder="1" applyAlignment="1" applyProtection="1">
      <alignment vertical="center"/>
      <protection hidden="1"/>
    </xf>
    <xf numFmtId="175" fontId="9" fillId="0" borderId="0" xfId="4" applyNumberFormat="1" applyFont="1" applyFill="1" applyBorder="1" applyProtection="1">
      <protection hidden="1"/>
    </xf>
    <xf numFmtId="0" fontId="8" fillId="0" borderId="9" xfId="4" applyFont="1" applyFill="1" applyBorder="1" applyProtection="1">
      <protection hidden="1"/>
    </xf>
    <xf numFmtId="0" fontId="8" fillId="0" borderId="10" xfId="4" applyFont="1" applyFill="1" applyBorder="1" applyProtection="1">
      <protection hidden="1"/>
    </xf>
    <xf numFmtId="0" fontId="8" fillId="0" borderId="8" xfId="4" applyFont="1" applyFill="1" applyBorder="1" applyProtection="1">
      <protection hidden="1"/>
    </xf>
    <xf numFmtId="0" fontId="6" fillId="2" borderId="0" xfId="0" applyNumberFormat="1" applyFont="1" applyFill="1" applyAlignment="1" applyProtection="1">
      <protection hidden="1"/>
    </xf>
    <xf numFmtId="0" fontId="6" fillId="5" borderId="36" xfId="0" applyNumberFormat="1" applyFont="1" applyFill="1" applyBorder="1" applyAlignment="1" applyProtection="1">
      <protection hidden="1"/>
    </xf>
    <xf numFmtId="0" fontId="6" fillId="5" borderId="60" xfId="0" applyNumberFormat="1" applyFont="1" applyFill="1" applyBorder="1" applyAlignment="1" applyProtection="1">
      <protection hidden="1"/>
    </xf>
    <xf numFmtId="0" fontId="6" fillId="5" borderId="37" xfId="0" applyNumberFormat="1" applyFont="1" applyFill="1" applyBorder="1" applyAlignment="1" applyProtection="1">
      <protection hidden="1"/>
    </xf>
    <xf numFmtId="0" fontId="6" fillId="5" borderId="0" xfId="0" applyFont="1" applyFill="1" applyProtection="1">
      <protection hidden="1"/>
    </xf>
    <xf numFmtId="0" fontId="6" fillId="5" borderId="0" xfId="0" applyFont="1" applyFill="1" applyAlignment="1" applyProtection="1">
      <protection hidden="1"/>
    </xf>
    <xf numFmtId="0" fontId="6" fillId="0" borderId="0" xfId="0" applyFont="1" applyProtection="1">
      <protection hidden="1"/>
    </xf>
    <xf numFmtId="0" fontId="6" fillId="4" borderId="65" xfId="0" applyFont="1" applyFill="1" applyBorder="1" applyAlignment="1" applyProtection="1">
      <alignment vertical="center"/>
      <protection hidden="1"/>
    </xf>
    <xf numFmtId="0" fontId="7" fillId="4" borderId="65" xfId="0" applyFont="1" applyFill="1" applyBorder="1" applyAlignment="1" applyProtection="1">
      <alignment horizontal="center"/>
      <protection hidden="1"/>
    </xf>
    <xf numFmtId="0" fontId="7" fillId="4" borderId="1" xfId="0" applyFont="1" applyFill="1" applyBorder="1" applyAlignment="1" applyProtection="1">
      <alignment vertical="center"/>
      <protection hidden="1"/>
    </xf>
    <xf numFmtId="0" fontId="6" fillId="2" borderId="0" xfId="0" applyFont="1" applyFill="1" applyProtection="1">
      <protection hidden="1"/>
    </xf>
    <xf numFmtId="0" fontId="6" fillId="4" borderId="0" xfId="0" applyFont="1" applyFill="1" applyBorder="1" applyAlignment="1" applyProtection="1">
      <alignment horizontal="left" indent="2"/>
      <protection hidden="1"/>
    </xf>
    <xf numFmtId="0" fontId="6" fillId="4" borderId="2" xfId="0" applyFont="1" applyFill="1" applyBorder="1" applyAlignment="1" applyProtection="1">
      <protection hidden="1"/>
    </xf>
    <xf numFmtId="0" fontId="7" fillId="9" borderId="0" xfId="0" applyFont="1" applyFill="1" applyBorder="1" applyAlignment="1" applyProtection="1">
      <alignment vertical="center"/>
      <protection hidden="1"/>
    </xf>
    <xf numFmtId="0" fontId="7" fillId="5" borderId="0" xfId="0" applyFont="1" applyFill="1" applyBorder="1" applyAlignment="1" applyProtection="1">
      <alignment horizontal="left" vertical="center" indent="1"/>
      <protection hidden="1"/>
    </xf>
    <xf numFmtId="0" fontId="7" fillId="5" borderId="0" xfId="0" applyFont="1" applyFill="1" applyBorder="1" applyAlignment="1" applyProtection="1">
      <alignment vertical="center"/>
      <protection hidden="1"/>
    </xf>
    <xf numFmtId="0" fontId="6" fillId="5" borderId="0" xfId="0" applyFont="1" applyFill="1" applyBorder="1" applyAlignment="1" applyProtection="1">
      <alignment horizontal="left" indent="2"/>
      <protection hidden="1"/>
    </xf>
    <xf numFmtId="0" fontId="7" fillId="4" borderId="0" xfId="0" applyFont="1" applyFill="1" applyBorder="1" applyAlignment="1" applyProtection="1">
      <protection hidden="1"/>
    </xf>
    <xf numFmtId="0" fontId="6" fillId="4" borderId="10" xfId="0" applyFont="1" applyFill="1" applyBorder="1" applyAlignment="1" applyProtection="1">
      <protection hidden="1"/>
    </xf>
    <xf numFmtId="0" fontId="7" fillId="4" borderId="5" xfId="0" applyFont="1" applyFill="1" applyBorder="1" applyAlignment="1" applyProtection="1">
      <alignment horizontal="center" vertical="top"/>
      <protection hidden="1"/>
    </xf>
    <xf numFmtId="0" fontId="7" fillId="4" borderId="44" xfId="0" applyFont="1" applyFill="1" applyBorder="1" applyAlignment="1" applyProtection="1">
      <alignment horizontal="center" vertical="top"/>
      <protection hidden="1"/>
    </xf>
    <xf numFmtId="0" fontId="7" fillId="4" borderId="4" xfId="0" applyFont="1" applyFill="1" applyBorder="1" applyAlignment="1" applyProtection="1">
      <alignment horizontal="center" vertical="top" wrapText="1"/>
      <protection hidden="1"/>
    </xf>
    <xf numFmtId="0" fontId="6" fillId="4" borderId="2" xfId="0" applyFont="1" applyFill="1" applyBorder="1" applyAlignment="1" applyProtection="1">
      <alignment vertical="center"/>
      <protection hidden="1"/>
    </xf>
    <xf numFmtId="0" fontId="7" fillId="4" borderId="6" xfId="0" applyFont="1" applyFill="1" applyBorder="1" applyAlignment="1" applyProtection="1">
      <alignment horizontal="center" vertical="center"/>
      <protection hidden="1"/>
    </xf>
    <xf numFmtId="0" fontId="7" fillId="4" borderId="7" xfId="0" applyFont="1" applyFill="1" applyBorder="1" applyAlignment="1" applyProtection="1">
      <alignment horizontal="center" vertical="center"/>
      <protection hidden="1"/>
    </xf>
    <xf numFmtId="0" fontId="7" fillId="4" borderId="8" xfId="0" applyFont="1" applyFill="1" applyBorder="1" applyAlignment="1" applyProtection="1">
      <alignment horizontal="center" vertical="center"/>
      <protection hidden="1"/>
    </xf>
    <xf numFmtId="0" fontId="7" fillId="4" borderId="9" xfId="0" applyFont="1" applyFill="1" applyBorder="1" applyAlignment="1" applyProtection="1">
      <alignment horizontal="center" vertical="center"/>
      <protection hidden="1"/>
    </xf>
    <xf numFmtId="0" fontId="6" fillId="4" borderId="0" xfId="0" applyFont="1" applyFill="1" applyBorder="1" applyAlignment="1" applyProtection="1">
      <protection hidden="1"/>
    </xf>
    <xf numFmtId="0" fontId="7" fillId="2" borderId="4" xfId="0" applyFont="1" applyFill="1" applyBorder="1" applyAlignment="1" applyProtection="1">
      <alignment horizontal="center" vertical="top" wrapText="1"/>
      <protection hidden="1"/>
    </xf>
    <xf numFmtId="0" fontId="6" fillId="2" borderId="0" xfId="0" applyFont="1" applyFill="1" applyAlignment="1" applyProtection="1">
      <protection hidden="1"/>
    </xf>
    <xf numFmtId="0" fontId="6" fillId="4" borderId="11" xfId="0" applyFont="1" applyFill="1" applyBorder="1" applyProtection="1">
      <protection hidden="1"/>
    </xf>
    <xf numFmtId="0" fontId="6" fillId="4" borderId="0" xfId="0" applyFont="1" applyFill="1" applyBorder="1" applyProtection="1">
      <protection hidden="1"/>
    </xf>
    <xf numFmtId="0" fontId="7" fillId="2" borderId="24" xfId="0" applyFont="1" applyFill="1" applyBorder="1" applyAlignment="1" applyProtection="1">
      <alignment vertical="top" wrapText="1"/>
      <protection hidden="1"/>
    </xf>
    <xf numFmtId="0" fontId="7" fillId="2" borderId="41" xfId="0" applyFont="1" applyFill="1" applyBorder="1" applyAlignment="1" applyProtection="1">
      <alignment vertical="top" wrapText="1"/>
      <protection hidden="1"/>
    </xf>
    <xf numFmtId="0" fontId="7" fillId="2" borderId="22" xfId="0" applyFont="1" applyFill="1" applyBorder="1" applyAlignment="1" applyProtection="1">
      <alignment vertical="top" wrapText="1"/>
      <protection hidden="1"/>
    </xf>
    <xf numFmtId="0" fontId="7" fillId="2" borderId="25" xfId="0" applyFont="1" applyFill="1" applyBorder="1" applyAlignment="1" applyProtection="1">
      <alignment vertical="top" wrapText="1"/>
      <protection hidden="1"/>
    </xf>
    <xf numFmtId="0" fontId="6" fillId="4" borderId="7" xfId="0" applyFont="1" applyFill="1" applyBorder="1" applyAlignment="1" applyProtection="1">
      <protection hidden="1"/>
    </xf>
    <xf numFmtId="0" fontId="6" fillId="4" borderId="9" xfId="0" applyFont="1" applyFill="1" applyBorder="1" applyProtection="1">
      <protection hidden="1"/>
    </xf>
    <xf numFmtId="0" fontId="6" fillId="4" borderId="7" xfId="0" applyFont="1" applyFill="1" applyBorder="1" applyProtection="1">
      <protection hidden="1"/>
    </xf>
    <xf numFmtId="0" fontId="6" fillId="4" borderId="2" xfId="0" applyFont="1" applyFill="1" applyBorder="1" applyProtection="1">
      <protection hidden="1"/>
    </xf>
    <xf numFmtId="0" fontId="7" fillId="2" borderId="36" xfId="0" applyFont="1" applyFill="1" applyBorder="1" applyAlignment="1" applyProtection="1">
      <alignment horizontal="center" vertical="top" wrapText="1"/>
      <protection hidden="1"/>
    </xf>
    <xf numFmtId="0" fontId="7" fillId="2" borderId="28" xfId="0" applyFont="1" applyFill="1" applyBorder="1" applyAlignment="1" applyProtection="1">
      <alignment horizontal="center" vertical="top" wrapText="1"/>
      <protection hidden="1"/>
    </xf>
    <xf numFmtId="0" fontId="7" fillId="2" borderId="37" xfId="0" applyFont="1" applyFill="1" applyBorder="1" applyAlignment="1" applyProtection="1">
      <alignment horizontal="center" vertical="top" wrapText="1"/>
      <protection hidden="1"/>
    </xf>
    <xf numFmtId="178" fontId="6" fillId="0" borderId="39" xfId="0" applyNumberFormat="1" applyFont="1" applyFill="1" applyBorder="1" applyAlignment="1" applyProtection="1">
      <alignment vertical="center"/>
      <protection locked="0"/>
    </xf>
    <xf numFmtId="178" fontId="6" fillId="0" borderId="31" xfId="0" applyNumberFormat="1" applyFont="1" applyFill="1" applyBorder="1" applyAlignment="1" applyProtection="1">
      <alignment vertical="center"/>
      <protection locked="0"/>
    </xf>
    <xf numFmtId="178" fontId="6" fillId="0" borderId="40" xfId="0" applyNumberFormat="1" applyFont="1" applyFill="1" applyBorder="1" applyAlignment="1" applyProtection="1">
      <alignment vertical="center"/>
      <protection locked="0"/>
    </xf>
    <xf numFmtId="178" fontId="6" fillId="4" borderId="31" xfId="0" applyNumberFormat="1" applyFont="1" applyFill="1" applyBorder="1" applyAlignment="1" applyProtection="1">
      <alignment vertical="center"/>
      <protection hidden="1"/>
    </xf>
    <xf numFmtId="169" fontId="6" fillId="4" borderId="31" xfId="0" applyNumberFormat="1" applyFont="1" applyFill="1" applyBorder="1" applyAlignment="1" applyProtection="1">
      <alignment vertical="center"/>
      <protection hidden="1"/>
    </xf>
    <xf numFmtId="169" fontId="6" fillId="4" borderId="32" xfId="0" applyNumberFormat="1" applyFont="1" applyFill="1" applyBorder="1" applyAlignment="1" applyProtection="1">
      <alignment horizontal="right" vertical="center"/>
      <protection hidden="1"/>
    </xf>
    <xf numFmtId="180" fontId="7" fillId="4" borderId="35" xfId="0" applyNumberFormat="1" applyFont="1" applyFill="1" applyBorder="1" applyAlignment="1" applyProtection="1">
      <alignment vertical="center"/>
      <protection hidden="1"/>
    </xf>
    <xf numFmtId="0" fontId="13" fillId="4" borderId="0" xfId="0" applyFont="1" applyFill="1" applyBorder="1" applyAlignment="1" applyProtection="1">
      <alignment vertical="top"/>
      <protection hidden="1"/>
    </xf>
    <xf numFmtId="0" fontId="6" fillId="2" borderId="39" xfId="0" applyFont="1" applyFill="1" applyBorder="1" applyAlignment="1" applyProtection="1">
      <alignment horizontal="center" vertical="center"/>
      <protection hidden="1"/>
    </xf>
    <xf numFmtId="0" fontId="6" fillId="2" borderId="31" xfId="0" applyFont="1" applyFill="1" applyBorder="1" applyAlignment="1" applyProtection="1">
      <alignment horizontal="center" vertical="center"/>
      <protection hidden="1"/>
    </xf>
    <xf numFmtId="2" fontId="6" fillId="2" borderId="35" xfId="0" applyNumberFormat="1" applyFont="1" applyFill="1" applyBorder="1" applyAlignment="1" applyProtection="1">
      <alignment horizontal="center" vertical="center"/>
      <protection hidden="1"/>
    </xf>
    <xf numFmtId="180" fontId="7" fillId="4" borderId="39" xfId="0" applyNumberFormat="1" applyFont="1" applyFill="1" applyBorder="1" applyAlignment="1" applyProtection="1">
      <alignment vertical="center"/>
      <protection hidden="1"/>
    </xf>
    <xf numFmtId="180" fontId="7" fillId="4" borderId="31" xfId="0" applyNumberFormat="1" applyFont="1" applyFill="1" applyBorder="1" applyAlignment="1" applyProtection="1">
      <alignment vertical="center"/>
      <protection hidden="1"/>
    </xf>
    <xf numFmtId="180" fontId="7" fillId="4" borderId="40" xfId="0" applyNumberFormat="1" applyFont="1" applyFill="1" applyBorder="1" applyAlignment="1" applyProtection="1">
      <alignment vertical="center"/>
      <protection hidden="1"/>
    </xf>
    <xf numFmtId="0" fontId="6" fillId="2" borderId="10" xfId="0" applyFont="1" applyFill="1" applyBorder="1" applyAlignment="1" applyProtection="1">
      <protection hidden="1"/>
    </xf>
    <xf numFmtId="0" fontId="6" fillId="2" borderId="7" xfId="0" applyFont="1" applyFill="1" applyBorder="1" applyAlignment="1" applyProtection="1">
      <protection hidden="1"/>
    </xf>
    <xf numFmtId="2" fontId="6" fillId="2" borderId="7" xfId="0" applyNumberFormat="1" applyFont="1" applyFill="1" applyBorder="1" applyAlignment="1" applyProtection="1">
      <protection hidden="1"/>
    </xf>
    <xf numFmtId="2" fontId="6" fillId="2" borderId="45" xfId="0" applyNumberFormat="1" applyFont="1" applyFill="1" applyBorder="1" applyAlignment="1" applyProtection="1">
      <protection hidden="1"/>
    </xf>
    <xf numFmtId="169" fontId="6" fillId="4" borderId="10" xfId="0" applyNumberFormat="1" applyFont="1" applyFill="1" applyBorder="1" applyAlignment="1" applyProtection="1">
      <alignment vertical="center"/>
      <protection hidden="1"/>
    </xf>
    <xf numFmtId="169" fontId="6" fillId="4" borderId="7" xfId="0" applyNumberFormat="1" applyFont="1" applyFill="1" applyBorder="1" applyAlignment="1" applyProtection="1">
      <alignment vertical="center"/>
      <protection hidden="1"/>
    </xf>
    <xf numFmtId="169" fontId="6" fillId="4" borderId="11" xfId="0" applyNumberFormat="1" applyFont="1" applyFill="1" applyBorder="1" applyAlignment="1" applyProtection="1">
      <alignment vertical="center"/>
      <protection hidden="1"/>
    </xf>
    <xf numFmtId="169" fontId="6" fillId="4" borderId="0" xfId="0" applyNumberFormat="1" applyFont="1" applyFill="1" applyBorder="1" applyAlignment="1" applyProtection="1">
      <alignment vertical="center"/>
      <protection hidden="1"/>
    </xf>
    <xf numFmtId="169" fontId="6" fillId="4" borderId="9" xfId="0" applyNumberFormat="1" applyFont="1" applyFill="1" applyBorder="1" applyAlignment="1" applyProtection="1">
      <alignment vertical="center"/>
      <protection hidden="1"/>
    </xf>
    <xf numFmtId="169" fontId="6" fillId="4" borderId="2" xfId="0" applyNumberFormat="1" applyFont="1" applyFill="1" applyBorder="1" applyAlignment="1" applyProtection="1">
      <alignment vertical="center"/>
      <protection hidden="1"/>
    </xf>
    <xf numFmtId="0" fontId="6" fillId="4" borderId="0" xfId="0" applyFont="1" applyFill="1" applyBorder="1" applyAlignment="1" applyProtection="1">
      <alignment vertical="center"/>
      <protection hidden="1"/>
    </xf>
    <xf numFmtId="178" fontId="6" fillId="0" borderId="63" xfId="0" applyNumberFormat="1" applyFont="1" applyFill="1" applyBorder="1" applyAlignment="1" applyProtection="1">
      <alignment vertical="center"/>
      <protection locked="0"/>
    </xf>
    <xf numFmtId="178" fontId="6" fillId="0" borderId="49" xfId="0" applyNumberFormat="1" applyFont="1" applyFill="1" applyBorder="1" applyAlignment="1" applyProtection="1">
      <alignment vertical="center"/>
      <protection locked="0"/>
    </xf>
    <xf numFmtId="178" fontId="6" fillId="0" borderId="93" xfId="0" applyNumberFormat="1" applyFont="1" applyFill="1" applyBorder="1" applyAlignment="1" applyProtection="1">
      <alignment vertical="center"/>
      <protection locked="0"/>
    </xf>
    <xf numFmtId="178" fontId="6" fillId="0" borderId="54" xfId="0" applyNumberFormat="1" applyFont="1" applyFill="1" applyBorder="1" applyAlignment="1" applyProtection="1">
      <alignment vertical="center"/>
      <protection locked="0"/>
    </xf>
    <xf numFmtId="169" fontId="6" fillId="4" borderId="52" xfId="0" applyNumberFormat="1" applyFont="1" applyFill="1" applyBorder="1" applyAlignment="1" applyProtection="1">
      <alignment vertical="center"/>
      <protection hidden="1"/>
    </xf>
    <xf numFmtId="180" fontId="7" fillId="4" borderId="53" xfId="0" applyNumberFormat="1" applyFont="1" applyFill="1" applyBorder="1" applyAlignment="1" applyProtection="1">
      <alignment vertical="center"/>
      <protection hidden="1"/>
    </xf>
    <xf numFmtId="169" fontId="6" fillId="4" borderId="21" xfId="0" applyNumberFormat="1" applyFont="1" applyFill="1" applyBorder="1" applyAlignment="1" applyProtection="1">
      <alignment vertical="center"/>
      <protection hidden="1"/>
    </xf>
    <xf numFmtId="169" fontId="6" fillId="4" borderId="22" xfId="0" applyNumberFormat="1" applyFont="1" applyFill="1" applyBorder="1" applyAlignment="1" applyProtection="1">
      <alignment vertical="center"/>
      <protection hidden="1"/>
    </xf>
    <xf numFmtId="169" fontId="6" fillId="4" borderId="23" xfId="0" applyNumberFormat="1" applyFont="1" applyFill="1" applyBorder="1" applyAlignment="1" applyProtection="1">
      <alignment vertical="center"/>
      <protection hidden="1"/>
    </xf>
    <xf numFmtId="169" fontId="6" fillId="4" borderId="58" xfId="0" applyNumberFormat="1" applyFont="1" applyFill="1" applyBorder="1" applyAlignment="1" applyProtection="1">
      <alignment vertical="center"/>
      <protection hidden="1"/>
    </xf>
    <xf numFmtId="169" fontId="6" fillId="4" borderId="47" xfId="0" applyNumberFormat="1" applyFont="1" applyFill="1" applyBorder="1" applyAlignment="1" applyProtection="1">
      <alignment vertical="center"/>
      <protection hidden="1"/>
    </xf>
    <xf numFmtId="169" fontId="6" fillId="4" borderId="41" xfId="0" applyNumberFormat="1" applyFont="1" applyFill="1" applyBorder="1" applyAlignment="1" applyProtection="1">
      <alignment vertical="center"/>
      <protection hidden="1"/>
    </xf>
    <xf numFmtId="169" fontId="6" fillId="4" borderId="32" xfId="0" applyNumberFormat="1" applyFont="1" applyFill="1" applyBorder="1" applyAlignment="1" applyProtection="1">
      <alignment vertical="center"/>
      <protection hidden="1"/>
    </xf>
    <xf numFmtId="0" fontId="6" fillId="2" borderId="3" xfId="0" applyFont="1" applyFill="1" applyBorder="1" applyAlignment="1" applyProtection="1">
      <alignment horizontal="center" vertical="center"/>
      <protection hidden="1"/>
    </xf>
    <xf numFmtId="0" fontId="6" fillId="2" borderId="5" xfId="0" applyFont="1" applyFill="1" applyBorder="1" applyAlignment="1" applyProtection="1">
      <alignment horizontal="center" vertical="center"/>
      <protection hidden="1"/>
    </xf>
    <xf numFmtId="2" fontId="6" fillId="2" borderId="45" xfId="0" applyNumberFormat="1" applyFont="1" applyFill="1" applyBorder="1" applyAlignment="1" applyProtection="1">
      <alignment horizontal="center" vertical="center"/>
      <protection hidden="1"/>
    </xf>
    <xf numFmtId="178" fontId="6" fillId="0" borderId="50" xfId="0" applyNumberFormat="1" applyFont="1" applyFill="1" applyBorder="1" applyAlignment="1" applyProtection="1">
      <alignment vertical="center"/>
      <protection locked="0"/>
    </xf>
    <xf numFmtId="0" fontId="6" fillId="2" borderId="27" xfId="0" applyFont="1" applyFill="1" applyBorder="1" applyAlignment="1" applyProtection="1">
      <alignment horizontal="center" vertical="center"/>
      <protection hidden="1"/>
    </xf>
    <xf numFmtId="0" fontId="6" fillId="2" borderId="42" xfId="0" applyFont="1" applyFill="1" applyBorder="1" applyAlignment="1" applyProtection="1">
      <alignment horizontal="center" vertical="center"/>
      <protection hidden="1"/>
    </xf>
    <xf numFmtId="2" fontId="6" fillId="2" borderId="29" xfId="0" applyNumberFormat="1" applyFont="1" applyFill="1" applyBorder="1" applyAlignment="1" applyProtection="1">
      <alignment horizontal="center" vertical="center"/>
      <protection hidden="1"/>
    </xf>
    <xf numFmtId="0" fontId="6" fillId="0" borderId="0" xfId="0" applyFont="1" applyFill="1" applyProtection="1">
      <protection hidden="1"/>
    </xf>
    <xf numFmtId="0" fontId="6" fillId="2" borderId="30" xfId="0" applyFont="1" applyFill="1" applyBorder="1" applyAlignment="1" applyProtection="1">
      <alignment horizontal="center" vertical="center"/>
      <protection hidden="1"/>
    </xf>
    <xf numFmtId="0" fontId="6" fillId="2" borderId="32" xfId="0" applyFont="1" applyFill="1" applyBorder="1" applyAlignment="1" applyProtection="1">
      <alignment horizontal="center" vertical="center"/>
      <protection hidden="1"/>
    </xf>
    <xf numFmtId="2" fontId="6" fillId="2" borderId="33" xfId="0" applyNumberFormat="1" applyFont="1" applyFill="1" applyBorder="1" applyAlignment="1" applyProtection="1">
      <alignment horizontal="center" vertical="center"/>
      <protection hidden="1"/>
    </xf>
    <xf numFmtId="169" fontId="6" fillId="4" borderId="36" xfId="0" applyNumberFormat="1" applyFont="1" applyFill="1" applyBorder="1" applyAlignment="1" applyProtection="1">
      <alignment vertical="center"/>
      <protection hidden="1"/>
    </xf>
    <xf numFmtId="169" fontId="6" fillId="4" borderId="28" xfId="0" applyNumberFormat="1" applyFont="1" applyFill="1" applyBorder="1" applyAlignment="1" applyProtection="1">
      <alignment vertical="center"/>
      <protection hidden="1"/>
    </xf>
    <xf numFmtId="169" fontId="6" fillId="4" borderId="37" xfId="0" applyNumberFormat="1" applyFont="1" applyFill="1" applyBorder="1" applyAlignment="1" applyProtection="1">
      <alignment vertical="center"/>
      <protection hidden="1"/>
    </xf>
    <xf numFmtId="169" fontId="6" fillId="4" borderId="60" xfId="0" applyNumberFormat="1" applyFont="1" applyFill="1" applyBorder="1" applyAlignment="1" applyProtection="1">
      <alignment vertical="center"/>
      <protection hidden="1"/>
    </xf>
    <xf numFmtId="169" fontId="6" fillId="4" borderId="62" xfId="0" applyNumberFormat="1" applyFont="1" applyFill="1" applyBorder="1" applyAlignment="1" applyProtection="1">
      <alignment vertical="center"/>
      <protection hidden="1"/>
    </xf>
    <xf numFmtId="0" fontId="6" fillId="2" borderId="39" xfId="0" applyFont="1" applyFill="1" applyBorder="1" applyAlignment="1" applyProtection="1">
      <protection hidden="1"/>
    </xf>
    <xf numFmtId="0" fontId="6" fillId="2" borderId="50" xfId="0" applyFont="1" applyFill="1" applyBorder="1" applyAlignment="1" applyProtection="1">
      <protection hidden="1"/>
    </xf>
    <xf numFmtId="2" fontId="6" fillId="2" borderId="65" xfId="0" applyNumberFormat="1" applyFont="1" applyFill="1" applyBorder="1" applyAlignment="1" applyProtection="1">
      <protection hidden="1"/>
    </xf>
    <xf numFmtId="0" fontId="6" fillId="2" borderId="45" xfId="0" applyFont="1" applyFill="1" applyBorder="1" applyAlignment="1" applyProtection="1">
      <protection hidden="1"/>
    </xf>
    <xf numFmtId="178" fontId="6" fillId="0" borderId="52" xfId="0" applyNumberFormat="1" applyFont="1" applyFill="1" applyBorder="1" applyAlignment="1" applyProtection="1">
      <alignment vertical="center"/>
      <protection locked="0"/>
    </xf>
    <xf numFmtId="0" fontId="6" fillId="2" borderId="55" xfId="0" applyFont="1" applyFill="1" applyBorder="1" applyAlignment="1" applyProtection="1">
      <alignment horizontal="center" vertical="center"/>
      <protection hidden="1"/>
    </xf>
    <xf numFmtId="0" fontId="6" fillId="2" borderId="52" xfId="0" applyFont="1" applyFill="1" applyBorder="1" applyAlignment="1" applyProtection="1">
      <alignment horizontal="center" vertical="center"/>
      <protection hidden="1"/>
    </xf>
    <xf numFmtId="2" fontId="6" fillId="2" borderId="49" xfId="0" applyNumberFormat="1" applyFont="1" applyFill="1" applyBorder="1" applyAlignment="1" applyProtection="1">
      <alignment horizontal="center" vertical="center"/>
      <protection hidden="1"/>
    </xf>
    <xf numFmtId="2" fontId="6" fillId="2" borderId="53" xfId="0" applyNumberFormat="1" applyFont="1" applyFill="1" applyBorder="1" applyAlignment="1" applyProtection="1">
      <alignment horizontal="center" vertical="center"/>
      <protection hidden="1"/>
    </xf>
    <xf numFmtId="0" fontId="7" fillId="3" borderId="0" xfId="9" applyFont="1" applyFill="1" applyBorder="1" applyAlignment="1" applyProtection="1">
      <alignment horizontal="centerContinuous" vertical="center"/>
      <protection hidden="1"/>
    </xf>
    <xf numFmtId="0" fontId="6" fillId="2" borderId="9" xfId="0" applyFont="1" applyFill="1" applyBorder="1" applyProtection="1">
      <protection hidden="1"/>
    </xf>
    <xf numFmtId="0" fontId="6" fillId="4" borderId="60" xfId="0" applyFont="1" applyFill="1" applyBorder="1" applyAlignment="1" applyProtection="1">
      <alignment vertical="center"/>
      <protection hidden="1"/>
    </xf>
    <xf numFmtId="0" fontId="6" fillId="0" borderId="0" xfId="0" applyFont="1" applyFill="1" applyAlignment="1" applyProtection="1">
      <protection hidden="1"/>
    </xf>
    <xf numFmtId="0" fontId="7" fillId="3" borderId="2" xfId="0"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hidden="1"/>
    </xf>
    <xf numFmtId="0" fontId="7" fillId="2" borderId="6" xfId="0" applyFont="1" applyFill="1" applyBorder="1" applyAlignment="1" applyProtection="1">
      <alignment horizontal="center" vertical="top" wrapText="1"/>
      <protection hidden="1"/>
    </xf>
    <xf numFmtId="0" fontId="7" fillId="2" borderId="2" xfId="0" applyFont="1" applyFill="1" applyBorder="1" applyAlignment="1" applyProtection="1">
      <alignment horizontal="center" vertical="top" wrapText="1"/>
      <protection hidden="1"/>
    </xf>
    <xf numFmtId="0" fontId="7" fillId="2" borderId="8" xfId="0" applyFont="1" applyFill="1" applyBorder="1" applyAlignment="1" applyProtection="1">
      <alignment horizontal="center" vertical="top" wrapText="1"/>
      <protection hidden="1"/>
    </xf>
    <xf numFmtId="0" fontId="7" fillId="3" borderId="6"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3" borderId="34" xfId="0" quotePrefix="1" applyFont="1" applyFill="1" applyBorder="1" applyAlignment="1" applyProtection="1">
      <alignment horizontal="center" vertical="center"/>
      <protection hidden="1"/>
    </xf>
    <xf numFmtId="0" fontId="7" fillId="3" borderId="13" xfId="0" quotePrefix="1" applyFont="1" applyFill="1" applyBorder="1" applyAlignment="1" applyProtection="1">
      <alignment horizontal="center" vertical="center"/>
      <protection hidden="1"/>
    </xf>
    <xf numFmtId="0" fontId="7" fillId="3" borderId="16" xfId="0" quotePrefix="1" applyFont="1" applyFill="1" applyBorder="1" applyAlignment="1" applyProtection="1">
      <alignment horizontal="center" vertical="center"/>
      <protection hidden="1"/>
    </xf>
    <xf numFmtId="0" fontId="6" fillId="2" borderId="65" xfId="0" applyFont="1" applyFill="1" applyBorder="1" applyAlignment="1" applyProtection="1">
      <protection hidden="1"/>
    </xf>
    <xf numFmtId="0" fontId="7" fillId="2" borderId="5" xfId="0" applyFont="1" applyFill="1" applyBorder="1" applyAlignment="1" applyProtection="1">
      <alignment horizontal="center" vertical="top" wrapText="1"/>
      <protection hidden="1"/>
    </xf>
    <xf numFmtId="0" fontId="6" fillId="4" borderId="65" xfId="0" applyFont="1" applyFill="1" applyBorder="1" applyProtection="1">
      <protection hidden="1"/>
    </xf>
    <xf numFmtId="0" fontId="7" fillId="4" borderId="65" xfId="0" applyFont="1" applyFill="1" applyBorder="1" applyAlignment="1" applyProtection="1">
      <alignment horizontal="right"/>
      <protection hidden="1"/>
    </xf>
    <xf numFmtId="0" fontId="6" fillId="4" borderId="1" xfId="0" applyFont="1" applyFill="1" applyBorder="1" applyProtection="1">
      <protection hidden="1"/>
    </xf>
    <xf numFmtId="0" fontId="7" fillId="4" borderId="62" xfId="0" applyFont="1" applyFill="1" applyBorder="1" applyAlignment="1" applyProtection="1">
      <alignment horizontal="centerContinuous" vertical="center"/>
      <protection hidden="1"/>
    </xf>
    <xf numFmtId="0" fontId="7" fillId="4" borderId="42" xfId="0" applyFont="1" applyFill="1" applyBorder="1" applyAlignment="1" applyProtection="1">
      <alignment horizontal="centerContinuous" vertical="center"/>
      <protection hidden="1"/>
    </xf>
    <xf numFmtId="0" fontId="7" fillId="4" borderId="5" xfId="0" applyFont="1" applyFill="1" applyBorder="1" applyAlignment="1" applyProtection="1">
      <alignment horizontal="center" vertical="top" wrapText="1"/>
      <protection hidden="1"/>
    </xf>
    <xf numFmtId="0" fontId="7" fillId="4" borderId="1" xfId="0" applyFont="1" applyFill="1" applyBorder="1" applyAlignment="1" applyProtection="1">
      <alignment horizontal="center" vertical="top" wrapText="1"/>
      <protection hidden="1"/>
    </xf>
    <xf numFmtId="0" fontId="7" fillId="4" borderId="45" xfId="0" applyFont="1" applyFill="1" applyBorder="1" applyAlignment="1" applyProtection="1">
      <alignment horizontal="center" vertical="top" wrapText="1"/>
      <protection hidden="1"/>
    </xf>
    <xf numFmtId="0" fontId="7" fillId="2" borderId="0" xfId="0" applyFont="1" applyFill="1" applyAlignment="1" applyProtection="1">
      <alignment vertical="center"/>
      <protection hidden="1"/>
    </xf>
    <xf numFmtId="0" fontId="7" fillId="2" borderId="0" xfId="0" applyFont="1" applyFill="1" applyAlignment="1" applyProtection="1">
      <alignment horizontal="center" vertical="center"/>
      <protection hidden="1"/>
    </xf>
    <xf numFmtId="167" fontId="6" fillId="0" borderId="62" xfId="0" applyNumberFormat="1" applyFont="1" applyFill="1" applyBorder="1" applyAlignment="1" applyProtection="1">
      <alignment vertical="center"/>
      <protection locked="0"/>
    </xf>
    <xf numFmtId="170" fontId="6" fillId="0" borderId="28" xfId="0" applyNumberFormat="1" applyFont="1" applyFill="1" applyBorder="1" applyAlignment="1" applyProtection="1">
      <alignment vertical="center"/>
      <protection locked="0"/>
    </xf>
    <xf numFmtId="167" fontId="6" fillId="0" borderId="28" xfId="0" applyNumberFormat="1" applyFont="1" applyFill="1" applyBorder="1" applyAlignment="1" applyProtection="1">
      <alignment vertical="center"/>
      <protection locked="0"/>
    </xf>
    <xf numFmtId="170" fontId="6" fillId="0" borderId="42" xfId="0" applyNumberFormat="1" applyFont="1" applyFill="1" applyBorder="1" applyAlignment="1" applyProtection="1">
      <alignment vertical="center"/>
      <protection locked="0"/>
    </xf>
    <xf numFmtId="180" fontId="7" fillId="8" borderId="62" xfId="0" applyNumberFormat="1" applyFont="1" applyFill="1" applyBorder="1" applyAlignment="1" applyProtection="1">
      <alignment vertical="center"/>
      <protection hidden="1"/>
    </xf>
    <xf numFmtId="181" fontId="7" fillId="8" borderId="73" xfId="0" applyNumberFormat="1" applyFont="1" applyFill="1" applyBorder="1" applyAlignment="1" applyProtection="1">
      <alignment vertical="center"/>
      <protection hidden="1"/>
    </xf>
    <xf numFmtId="0" fontId="6" fillId="2" borderId="76" xfId="0" applyFont="1" applyFill="1" applyBorder="1" applyAlignment="1" applyProtection="1">
      <alignment horizontal="center" vertical="center" wrapText="1"/>
      <protection hidden="1"/>
    </xf>
    <xf numFmtId="0" fontId="6" fillId="2" borderId="77" xfId="0" applyFont="1" applyFill="1" applyBorder="1" applyAlignment="1" applyProtection="1">
      <alignment horizontal="center" vertical="center" wrapText="1"/>
      <protection hidden="1"/>
    </xf>
    <xf numFmtId="0" fontId="6" fillId="2" borderId="78" xfId="0" applyFont="1" applyFill="1" applyBorder="1" applyAlignment="1" applyProtection="1">
      <alignment horizontal="center" vertical="center" wrapText="1"/>
      <protection hidden="1"/>
    </xf>
    <xf numFmtId="167" fontId="6" fillId="0" borderId="14" xfId="0" applyNumberFormat="1" applyFont="1" applyFill="1" applyBorder="1" applyAlignment="1" applyProtection="1">
      <alignment vertical="center"/>
      <protection locked="0"/>
    </xf>
    <xf numFmtId="170" fontId="6" fillId="0" borderId="13" xfId="0" applyNumberFormat="1" applyFont="1" applyFill="1" applyBorder="1" applyAlignment="1" applyProtection="1">
      <alignment vertical="center"/>
      <protection locked="0"/>
    </xf>
    <xf numFmtId="167" fontId="6" fillId="0" borderId="13" xfId="0" applyNumberFormat="1" applyFont="1" applyFill="1" applyBorder="1" applyAlignment="1" applyProtection="1">
      <alignment vertical="center"/>
      <protection locked="0"/>
    </xf>
    <xf numFmtId="170" fontId="6" fillId="0" borderId="72" xfId="0" applyNumberFormat="1" applyFont="1" applyFill="1" applyBorder="1" applyAlignment="1" applyProtection="1">
      <alignment vertical="center"/>
      <protection locked="0"/>
    </xf>
    <xf numFmtId="180" fontId="7" fillId="8" borderId="14" xfId="0" applyNumberFormat="1" applyFont="1" applyFill="1" applyBorder="1" applyAlignment="1" applyProtection="1">
      <alignment vertical="center"/>
      <protection hidden="1"/>
    </xf>
    <xf numFmtId="181" fontId="7" fillId="8" borderId="74" xfId="0" applyNumberFormat="1" applyFont="1" applyFill="1" applyBorder="1" applyAlignment="1" applyProtection="1">
      <alignment vertical="center"/>
      <protection hidden="1"/>
    </xf>
    <xf numFmtId="0" fontId="6" fillId="2" borderId="55" xfId="0" applyFont="1" applyFill="1" applyBorder="1" applyAlignment="1" applyProtection="1">
      <alignment horizontal="center" vertical="center" wrapText="1"/>
      <protection hidden="1"/>
    </xf>
    <xf numFmtId="0" fontId="6" fillId="2" borderId="52" xfId="0" applyFont="1" applyFill="1" applyBorder="1" applyAlignment="1" applyProtection="1">
      <alignment horizontal="center" vertical="center" wrapText="1"/>
      <protection hidden="1"/>
    </xf>
    <xf numFmtId="0" fontId="6" fillId="2" borderId="53" xfId="0" applyFont="1" applyFill="1" applyBorder="1" applyAlignment="1" applyProtection="1">
      <alignment horizontal="center" vertical="center" wrapText="1"/>
      <protection hidden="1"/>
    </xf>
    <xf numFmtId="0" fontId="6" fillId="4" borderId="60" xfId="0" applyFont="1" applyFill="1" applyBorder="1" applyProtection="1">
      <protection hidden="1"/>
    </xf>
    <xf numFmtId="0" fontId="6" fillId="4" borderId="42" xfId="0" applyFont="1" applyFill="1" applyBorder="1" applyProtection="1">
      <protection hidden="1"/>
    </xf>
    <xf numFmtId="0" fontId="13" fillId="4" borderId="0" xfId="0" applyFont="1" applyFill="1" applyBorder="1" applyAlignment="1" applyProtection="1">
      <alignment horizontal="left" vertical="center"/>
      <protection hidden="1"/>
    </xf>
    <xf numFmtId="0" fontId="6" fillId="4" borderId="0" xfId="0" applyFont="1" applyFill="1" applyBorder="1" applyAlignment="1" applyProtection="1">
      <alignment horizontal="centerContinuous"/>
      <protection hidden="1"/>
    </xf>
    <xf numFmtId="0" fontId="6" fillId="2" borderId="76" xfId="0" quotePrefix="1" applyFont="1" applyFill="1" applyBorder="1" applyAlignment="1" applyProtection="1">
      <alignment horizontal="center" vertical="center" wrapText="1"/>
      <protection hidden="1"/>
    </xf>
    <xf numFmtId="0" fontId="6" fillId="2" borderId="79" xfId="0" quotePrefix="1" applyFont="1" applyFill="1" applyBorder="1" applyAlignment="1" applyProtection="1">
      <alignment horizontal="center" vertical="center" wrapText="1"/>
      <protection hidden="1"/>
    </xf>
    <xf numFmtId="0" fontId="6" fillId="2" borderId="80" xfId="0" quotePrefix="1" applyFont="1" applyFill="1" applyBorder="1" applyAlignment="1" applyProtection="1">
      <alignment horizontal="center" vertical="center" wrapText="1"/>
      <protection hidden="1"/>
    </xf>
    <xf numFmtId="0" fontId="6" fillId="5" borderId="0" xfId="0" applyFont="1" applyFill="1" applyBorder="1" applyAlignment="1" applyProtection="1">
      <protection hidden="1"/>
    </xf>
    <xf numFmtId="0" fontId="6" fillId="2" borderId="55" xfId="0" quotePrefix="1" applyFont="1" applyFill="1" applyBorder="1" applyAlignment="1" applyProtection="1">
      <alignment horizontal="center" vertical="center" wrapText="1"/>
      <protection hidden="1"/>
    </xf>
    <xf numFmtId="0" fontId="6" fillId="2" borderId="49" xfId="0" quotePrefix="1" applyFont="1" applyFill="1" applyBorder="1" applyAlignment="1" applyProtection="1">
      <alignment horizontal="center" vertical="center" wrapText="1"/>
      <protection hidden="1"/>
    </xf>
    <xf numFmtId="0" fontId="6" fillId="2" borderId="51" xfId="0" quotePrefix="1" applyFont="1" applyFill="1" applyBorder="1" applyAlignment="1" applyProtection="1">
      <alignment horizontal="center" vertical="center" wrapText="1"/>
      <protection hidden="1"/>
    </xf>
    <xf numFmtId="0" fontId="6" fillId="2" borderId="0" xfId="0" quotePrefix="1" applyFont="1" applyFill="1" applyBorder="1" applyAlignment="1" applyProtection="1">
      <alignment horizontal="center" vertical="center" wrapText="1"/>
      <protection hidden="1"/>
    </xf>
    <xf numFmtId="0" fontId="7" fillId="4" borderId="1" xfId="0" applyFont="1" applyFill="1" applyBorder="1" applyAlignment="1" applyProtection="1">
      <alignment horizontal="right"/>
      <protection hidden="1"/>
    </xf>
    <xf numFmtId="0" fontId="6" fillId="4" borderId="0" xfId="0" applyFont="1" applyFill="1" applyBorder="1" applyAlignment="1" applyProtection="1">
      <alignment vertical="top"/>
      <protection hidden="1"/>
    </xf>
    <xf numFmtId="0" fontId="6" fillId="4" borderId="2" xfId="0" applyFont="1" applyFill="1" applyBorder="1" applyAlignment="1" applyProtection="1">
      <alignment vertical="top"/>
      <protection hidden="1"/>
    </xf>
    <xf numFmtId="0" fontId="14" fillId="4" borderId="0" xfId="0" applyFont="1" applyFill="1" applyBorder="1" applyAlignment="1" applyProtection="1">
      <alignment horizontal="center" vertical="center"/>
      <protection hidden="1"/>
    </xf>
    <xf numFmtId="0" fontId="6" fillId="5" borderId="2" xfId="0" applyFont="1" applyFill="1" applyBorder="1" applyProtection="1">
      <protection hidden="1"/>
    </xf>
    <xf numFmtId="0" fontId="16" fillId="4" borderId="0" xfId="0" applyFont="1" applyFill="1" applyBorder="1" applyAlignment="1" applyProtection="1">
      <alignment horizontal="left"/>
      <protection hidden="1"/>
    </xf>
    <xf numFmtId="0" fontId="6" fillId="4" borderId="0" xfId="0" applyFont="1" applyFill="1" applyBorder="1" applyAlignment="1" applyProtection="1">
      <alignment horizontal="right"/>
      <protection hidden="1"/>
    </xf>
    <xf numFmtId="0" fontId="6" fillId="4" borderId="2" xfId="0" applyFont="1" applyFill="1" applyBorder="1" applyAlignment="1" applyProtection="1">
      <alignment horizontal="right"/>
      <protection hidden="1"/>
    </xf>
    <xf numFmtId="181" fontId="7" fillId="4" borderId="29" xfId="0" applyNumberFormat="1" applyFont="1" applyFill="1" applyBorder="1" applyAlignment="1" applyProtection="1">
      <alignment vertical="center"/>
      <protection hidden="1"/>
    </xf>
    <xf numFmtId="181" fontId="7" fillId="4" borderId="49" xfId="0" applyNumberFormat="1" applyFont="1" applyFill="1" applyBorder="1" applyAlignment="1" applyProtection="1">
      <alignment vertical="center"/>
      <protection hidden="1"/>
    </xf>
    <xf numFmtId="181" fontId="7" fillId="4" borderId="51" xfId="0" applyNumberFormat="1" applyFont="1" applyFill="1" applyBorder="1" applyAlignment="1" applyProtection="1">
      <alignment vertical="center"/>
      <protection hidden="1"/>
    </xf>
    <xf numFmtId="0" fontId="13" fillId="4" borderId="60" xfId="0" applyFont="1" applyFill="1" applyBorder="1" applyAlignment="1" applyProtection="1">
      <alignment horizontal="left" vertical="center"/>
      <protection hidden="1"/>
    </xf>
    <xf numFmtId="0" fontId="6" fillId="4" borderId="60" xfId="0" applyFont="1" applyFill="1" applyBorder="1" applyAlignment="1" applyProtection="1">
      <alignment horizontal="centerContinuous" vertical="center"/>
      <protection hidden="1"/>
    </xf>
    <xf numFmtId="0" fontId="6" fillId="4" borderId="42" xfId="0" applyFont="1" applyFill="1" applyBorder="1" applyAlignment="1" applyProtection="1">
      <alignment horizontal="centerContinuous" vertical="center"/>
      <protection hidden="1"/>
    </xf>
    <xf numFmtId="182" fontId="6" fillId="0" borderId="42" xfId="0" applyNumberFormat="1" applyFont="1" applyFill="1" applyBorder="1" applyAlignment="1" applyProtection="1">
      <alignment vertical="center"/>
      <protection locked="0"/>
    </xf>
    <xf numFmtId="182" fontId="6" fillId="0" borderId="28" xfId="0" applyNumberFormat="1" applyFont="1" applyFill="1" applyBorder="1" applyAlignment="1" applyProtection="1">
      <alignment vertical="center"/>
      <protection locked="0"/>
    </xf>
    <xf numFmtId="0" fontId="7" fillId="4" borderId="2" xfId="0" applyFont="1" applyFill="1" applyBorder="1" applyAlignment="1" applyProtection="1">
      <alignment horizontal="center" vertical="center" wrapText="1"/>
      <protection hidden="1"/>
    </xf>
    <xf numFmtId="0" fontId="7" fillId="4" borderId="7" xfId="0" applyFont="1" applyFill="1" applyBorder="1" applyAlignment="1" applyProtection="1">
      <alignment horizontal="center" vertical="center" wrapText="1"/>
      <protection hidden="1"/>
    </xf>
    <xf numFmtId="0" fontId="7" fillId="4" borderId="8" xfId="0" applyFont="1" applyFill="1" applyBorder="1" applyAlignment="1" applyProtection="1">
      <alignment horizontal="center" vertical="center" wrapText="1"/>
      <protection hidden="1"/>
    </xf>
    <xf numFmtId="0" fontId="7" fillId="4" borderId="44" xfId="0" applyFont="1" applyFill="1" applyBorder="1" applyAlignment="1" applyProtection="1">
      <alignment horizontal="center" vertical="top" wrapText="1"/>
      <protection hidden="1"/>
    </xf>
    <xf numFmtId="0" fontId="7" fillId="4" borderId="0" xfId="0" applyFont="1" applyFill="1" applyBorder="1" applyAlignment="1" applyProtection="1">
      <alignment horizontal="center" vertical="top"/>
      <protection hidden="1"/>
    </xf>
    <xf numFmtId="0" fontId="7" fillId="4" borderId="7" xfId="0" applyFont="1" applyFill="1" applyBorder="1" applyAlignment="1" applyProtection="1">
      <alignment horizontal="center" vertical="top"/>
      <protection hidden="1"/>
    </xf>
    <xf numFmtId="0" fontId="7" fillId="5" borderId="10" xfId="0" quotePrefix="1" applyFont="1" applyFill="1" applyBorder="1" applyAlignment="1" applyProtection="1">
      <alignment horizontal="center" vertical="center" wrapText="1"/>
      <protection hidden="1"/>
    </xf>
    <xf numFmtId="0" fontId="7" fillId="4" borderId="7" xfId="0" applyFont="1" applyFill="1" applyBorder="1" applyAlignment="1" applyProtection="1">
      <alignment horizontal="center" vertical="top" wrapText="1"/>
      <protection hidden="1"/>
    </xf>
    <xf numFmtId="0" fontId="7" fillId="5" borderId="13" xfId="0" quotePrefix="1" applyFont="1" applyFill="1" applyBorder="1" applyAlignment="1" applyProtection="1">
      <alignment horizontal="center" vertical="center" wrapText="1"/>
      <protection hidden="1"/>
    </xf>
    <xf numFmtId="0" fontId="7" fillId="5" borderId="16" xfId="0" quotePrefix="1" applyFont="1" applyFill="1" applyBorder="1" applyAlignment="1" applyProtection="1">
      <alignment horizontal="center" vertical="center" wrapText="1"/>
      <protection hidden="1"/>
    </xf>
    <xf numFmtId="0" fontId="7" fillId="4" borderId="72" xfId="0" quotePrefix="1" applyFont="1" applyFill="1" applyBorder="1" applyAlignment="1" applyProtection="1">
      <alignment horizontal="center" vertical="center" wrapText="1"/>
      <protection hidden="1"/>
    </xf>
    <xf numFmtId="0" fontId="7" fillId="4" borderId="16" xfId="0" quotePrefix="1" applyFont="1" applyFill="1" applyBorder="1" applyAlignment="1" applyProtection="1">
      <alignment horizontal="center" vertical="center" wrapText="1"/>
      <protection hidden="1"/>
    </xf>
    <xf numFmtId="0" fontId="6" fillId="3" borderId="65" xfId="0" applyFont="1" applyFill="1" applyBorder="1" applyAlignment="1" applyProtection="1">
      <alignment vertical="center"/>
      <protection hidden="1"/>
    </xf>
    <xf numFmtId="0" fontId="7" fillId="3" borderId="65" xfId="0" applyFont="1" applyFill="1" applyBorder="1" applyAlignment="1" applyProtection="1">
      <alignment vertical="center"/>
      <protection hidden="1"/>
    </xf>
    <xf numFmtId="0" fontId="7" fillId="3" borderId="1" xfId="0" applyFont="1" applyFill="1" applyBorder="1" applyAlignment="1" applyProtection="1">
      <alignment horizontal="right" vertical="center" indent="1"/>
      <protection hidden="1"/>
    </xf>
    <xf numFmtId="0" fontId="6" fillId="3" borderId="0" xfId="0" applyFont="1" applyFill="1" applyBorder="1" applyAlignment="1" applyProtection="1">
      <alignment horizontal="left" vertical="center" indent="2"/>
      <protection hidden="1"/>
    </xf>
    <xf numFmtId="0" fontId="6" fillId="3" borderId="0" xfId="0" applyFont="1" applyFill="1" applyBorder="1" applyAlignment="1" applyProtection="1">
      <alignment horizontal="left" vertical="center"/>
      <protection hidden="1"/>
    </xf>
    <xf numFmtId="0" fontId="6" fillId="3" borderId="2" xfId="0" applyFont="1" applyFill="1" applyBorder="1" applyAlignment="1" applyProtection="1">
      <alignment horizontal="left" vertical="center"/>
      <protection hidden="1"/>
    </xf>
    <xf numFmtId="0" fontId="6" fillId="3" borderId="0" xfId="0" applyFont="1" applyFill="1" applyBorder="1" applyAlignment="1" applyProtection="1">
      <alignment vertical="top"/>
      <protection hidden="1"/>
    </xf>
    <xf numFmtId="0" fontId="6" fillId="3" borderId="2" xfId="0" applyFont="1" applyFill="1" applyBorder="1" applyAlignment="1" applyProtection="1">
      <alignment vertical="top"/>
      <protection hidden="1"/>
    </xf>
    <xf numFmtId="0" fontId="6" fillId="3" borderId="0" xfId="0" applyFont="1" applyFill="1" applyBorder="1" applyProtection="1">
      <protection hidden="1"/>
    </xf>
    <xf numFmtId="0" fontId="6" fillId="3" borderId="2" xfId="0" applyFont="1" applyFill="1" applyBorder="1" applyProtection="1">
      <protection hidden="1"/>
    </xf>
    <xf numFmtId="0" fontId="7" fillId="3" borderId="5" xfId="0" applyFont="1" applyFill="1" applyBorder="1" applyAlignment="1" applyProtection="1">
      <alignment horizontal="center" vertical="center"/>
      <protection hidden="1"/>
    </xf>
    <xf numFmtId="0" fontId="7" fillId="3" borderId="4" xfId="0" applyFont="1" applyFill="1" applyBorder="1" applyAlignment="1" applyProtection="1">
      <alignment horizontal="center" vertical="center"/>
      <protection hidden="1"/>
    </xf>
    <xf numFmtId="0" fontId="6" fillId="3" borderId="6" xfId="0" applyFont="1" applyFill="1" applyBorder="1" applyProtection="1">
      <protection hidden="1"/>
    </xf>
    <xf numFmtId="0" fontId="6" fillId="3" borderId="7" xfId="0" applyFont="1" applyFill="1" applyBorder="1" applyProtection="1">
      <protection hidden="1"/>
    </xf>
    <xf numFmtId="0" fontId="6" fillId="3" borderId="11" xfId="0" applyFont="1" applyFill="1" applyBorder="1" applyProtection="1">
      <protection hidden="1"/>
    </xf>
    <xf numFmtId="0" fontId="6" fillId="2" borderId="0" xfId="0" applyFont="1" applyFill="1" applyBorder="1" applyAlignment="1" applyProtection="1">
      <protection hidden="1"/>
    </xf>
    <xf numFmtId="180" fontId="17" fillId="2" borderId="33" xfId="0" applyNumberFormat="1" applyFont="1" applyFill="1" applyBorder="1" applyAlignment="1" applyProtection="1">
      <alignment vertical="center"/>
      <protection hidden="1"/>
    </xf>
    <xf numFmtId="169" fontId="6" fillId="3" borderId="2" xfId="0" applyNumberFormat="1" applyFont="1" applyFill="1" applyBorder="1" applyProtection="1">
      <protection hidden="1"/>
    </xf>
    <xf numFmtId="169" fontId="6" fillId="3" borderId="7" xfId="0" applyNumberFormat="1" applyFont="1" applyFill="1" applyBorder="1" applyAlignment="1" applyProtection="1">
      <alignment horizontal="center" vertical="center"/>
      <protection hidden="1"/>
    </xf>
    <xf numFmtId="169" fontId="6" fillId="3" borderId="0" xfId="0" applyNumberFormat="1" applyFont="1" applyFill="1" applyBorder="1" applyAlignment="1" applyProtection="1">
      <alignment horizontal="center" vertical="center"/>
      <protection hidden="1"/>
    </xf>
    <xf numFmtId="178" fontId="6" fillId="0" borderId="5" xfId="0" applyNumberFormat="1" applyFont="1" applyFill="1" applyBorder="1" applyAlignment="1" applyProtection="1">
      <alignment vertical="center"/>
      <protection locked="0"/>
    </xf>
    <xf numFmtId="180" fontId="7" fillId="2" borderId="31" xfId="0" applyNumberFormat="1" applyFont="1" applyFill="1" applyBorder="1" applyAlignment="1" applyProtection="1">
      <alignment vertical="center"/>
      <protection hidden="1"/>
    </xf>
    <xf numFmtId="169" fontId="6" fillId="3" borderId="5" xfId="0" applyNumberFormat="1" applyFont="1" applyFill="1" applyBorder="1" applyAlignment="1" applyProtection="1">
      <alignment horizontal="center" vertical="center"/>
      <protection hidden="1"/>
    </xf>
    <xf numFmtId="169" fontId="6" fillId="3" borderId="65" xfId="0" applyNumberFormat="1" applyFont="1" applyFill="1" applyBorder="1" applyAlignment="1" applyProtection="1">
      <alignment horizontal="center" vertical="center"/>
      <protection hidden="1"/>
    </xf>
    <xf numFmtId="170" fontId="6" fillId="2" borderId="7" xfId="0" applyNumberFormat="1" applyFont="1" applyFill="1" applyBorder="1" applyAlignment="1" applyProtection="1">
      <alignment vertical="center"/>
      <protection hidden="1"/>
    </xf>
    <xf numFmtId="170" fontId="6" fillId="2" borderId="11" xfId="0" applyNumberFormat="1" applyFont="1" applyFill="1" applyBorder="1" applyAlignment="1" applyProtection="1">
      <alignment vertical="center"/>
      <protection hidden="1"/>
    </xf>
    <xf numFmtId="170" fontId="6" fillId="2" borderId="5" xfId="0" applyNumberFormat="1" applyFont="1" applyFill="1" applyBorder="1" applyAlignment="1" applyProtection="1">
      <alignment vertical="center"/>
      <protection hidden="1"/>
    </xf>
    <xf numFmtId="170" fontId="6" fillId="2" borderId="45" xfId="0" applyNumberFormat="1" applyFont="1" applyFill="1" applyBorder="1" applyAlignment="1" applyProtection="1">
      <alignment vertical="center"/>
      <protection hidden="1"/>
    </xf>
    <xf numFmtId="0" fontId="6" fillId="0" borderId="0" xfId="0" applyNumberFormat="1" applyFont="1" applyFill="1" applyAlignment="1" applyProtection="1">
      <protection hidden="1"/>
    </xf>
    <xf numFmtId="180" fontId="7" fillId="2" borderId="49" xfId="0" applyNumberFormat="1" applyFont="1" applyFill="1" applyBorder="1" applyAlignment="1" applyProtection="1">
      <alignment vertical="center"/>
      <protection hidden="1"/>
    </xf>
    <xf numFmtId="0" fontId="6" fillId="3" borderId="2" xfId="0" applyFont="1" applyFill="1" applyBorder="1" applyAlignment="1" applyProtection="1">
      <alignment horizontal="centerContinuous" vertical="center"/>
      <protection hidden="1"/>
    </xf>
    <xf numFmtId="172" fontId="6" fillId="5" borderId="0" xfId="4" applyNumberFormat="1" applyFont="1" applyFill="1" applyBorder="1" applyAlignment="1" applyProtection="1">
      <protection hidden="1"/>
    </xf>
    <xf numFmtId="0" fontId="6" fillId="9" borderId="0" xfId="4" applyFont="1" applyFill="1" applyBorder="1" applyAlignment="1" applyProtection="1">
      <alignment vertical="top"/>
      <protection hidden="1"/>
    </xf>
    <xf numFmtId="0" fontId="6" fillId="5" borderId="0" xfId="4" applyFont="1" applyFill="1" applyBorder="1" applyAlignment="1" applyProtection="1">
      <alignment vertical="top"/>
      <protection hidden="1"/>
    </xf>
    <xf numFmtId="0" fontId="7" fillId="5" borderId="0" xfId="0" applyNumberFormat="1" applyFont="1" applyFill="1" applyBorder="1" applyAlignment="1" applyProtection="1">
      <alignment horizontal="right" vertical="center" indent="1"/>
      <protection hidden="1"/>
    </xf>
    <xf numFmtId="0" fontId="6" fillId="5" borderId="0" xfId="4" applyFont="1" applyFill="1" applyBorder="1" applyAlignment="1" applyProtection="1">
      <protection hidden="1"/>
    </xf>
    <xf numFmtId="0" fontId="7" fillId="6" borderId="9" xfId="0" applyFont="1" applyFill="1" applyBorder="1" applyAlignment="1" applyProtection="1">
      <alignment horizontal="centerContinuous"/>
      <protection hidden="1"/>
    </xf>
    <xf numFmtId="172" fontId="6" fillId="6" borderId="0" xfId="0" applyNumberFormat="1" applyFont="1" applyFill="1" applyBorder="1" applyAlignment="1" applyProtection="1">
      <protection hidden="1"/>
    </xf>
    <xf numFmtId="172" fontId="7" fillId="6" borderId="0" xfId="0" applyNumberFormat="1" applyFont="1" applyFill="1" applyBorder="1" applyAlignment="1" applyProtection="1">
      <alignment vertical="center" wrapText="1"/>
      <protection hidden="1"/>
    </xf>
    <xf numFmtId="172" fontId="7" fillId="6" borderId="0" xfId="0" applyNumberFormat="1" applyFont="1" applyFill="1" applyBorder="1" applyAlignment="1" applyProtection="1">
      <alignment horizontal="right" vertical="center" indent="1"/>
      <protection hidden="1"/>
    </xf>
    <xf numFmtId="172" fontId="7" fillId="11" borderId="0" xfId="0" applyNumberFormat="1" applyFont="1" applyFill="1" applyBorder="1" applyAlignment="1" applyProtection="1">
      <alignment horizontal="right" vertical="center" indent="1"/>
      <protection hidden="1"/>
    </xf>
    <xf numFmtId="172" fontId="7" fillId="11" borderId="0" xfId="0" applyNumberFormat="1" applyFont="1" applyFill="1" applyBorder="1" applyAlignment="1" applyProtection="1">
      <alignment vertical="center" wrapText="1"/>
      <protection hidden="1"/>
    </xf>
    <xf numFmtId="0" fontId="18" fillId="6" borderId="9" xfId="0" applyFont="1" applyFill="1" applyBorder="1" applyAlignment="1" applyProtection="1">
      <protection hidden="1"/>
    </xf>
    <xf numFmtId="0" fontId="18" fillId="11" borderId="0" xfId="0" applyFont="1" applyFill="1" applyBorder="1" applyAlignment="1" applyProtection="1">
      <protection hidden="1"/>
    </xf>
    <xf numFmtId="0" fontId="6" fillId="7" borderId="0" xfId="4" applyFont="1" applyFill="1" applyBorder="1" applyAlignment="1" applyProtection="1">
      <protection hidden="1"/>
    </xf>
    <xf numFmtId="0" fontId="18" fillId="6" borderId="0" xfId="0" applyFont="1" applyFill="1" applyBorder="1" applyAlignment="1" applyProtection="1">
      <protection hidden="1"/>
    </xf>
    <xf numFmtId="0" fontId="19" fillId="5" borderId="26" xfId="4" applyFont="1" applyFill="1" applyBorder="1" applyAlignment="1" applyProtection="1">
      <alignment vertical="center"/>
      <protection hidden="1"/>
    </xf>
    <xf numFmtId="0" fontId="7" fillId="5" borderId="0" xfId="4" applyFont="1" applyFill="1" applyBorder="1" applyAlignment="1" applyProtection="1">
      <alignment horizontal="center" vertical="center"/>
      <protection hidden="1"/>
    </xf>
    <xf numFmtId="0" fontId="12" fillId="6" borderId="9" xfId="0" applyFont="1" applyFill="1" applyBorder="1" applyAlignment="1" applyProtection="1">
      <alignment vertical="center"/>
      <protection hidden="1"/>
    </xf>
    <xf numFmtId="0" fontId="12" fillId="11" borderId="0" xfId="0" applyFont="1" applyFill="1" applyBorder="1" applyAlignment="1" applyProtection="1">
      <alignment vertical="center"/>
      <protection hidden="1"/>
    </xf>
    <xf numFmtId="0" fontId="6" fillId="5" borderId="12" xfId="4" applyFont="1" applyFill="1" applyBorder="1" applyAlignment="1" applyProtection="1">
      <alignment vertical="center"/>
      <protection hidden="1"/>
    </xf>
    <xf numFmtId="0" fontId="6" fillId="5" borderId="0" xfId="4" applyFont="1" applyFill="1" applyBorder="1" applyProtection="1">
      <protection hidden="1"/>
    </xf>
    <xf numFmtId="0" fontId="12" fillId="6" borderId="9" xfId="0" applyFont="1" applyFill="1" applyBorder="1" applyAlignment="1" applyProtection="1">
      <protection hidden="1"/>
    </xf>
    <xf numFmtId="172" fontId="20" fillId="6" borderId="4" xfId="0" applyNumberFormat="1" applyFont="1" applyFill="1" applyBorder="1" applyAlignment="1" applyProtection="1">
      <alignment horizontal="center" vertical="top" wrapText="1"/>
      <protection hidden="1"/>
    </xf>
    <xf numFmtId="0" fontId="12" fillId="11" borderId="0" xfId="0" applyFont="1" applyFill="1" applyBorder="1" applyAlignment="1" applyProtection="1">
      <protection hidden="1"/>
    </xf>
    <xf numFmtId="172" fontId="21" fillId="11" borderId="4" xfId="0" applyNumberFormat="1" applyFont="1" applyFill="1" applyBorder="1" applyAlignment="1" applyProtection="1">
      <alignment horizontal="center" vertical="top" wrapText="1"/>
      <protection hidden="1"/>
    </xf>
    <xf numFmtId="0" fontId="6" fillId="5" borderId="12" xfId="0" applyFont="1" applyFill="1" applyBorder="1" applyAlignment="1" applyProtection="1">
      <alignment vertical="center"/>
      <protection hidden="1"/>
    </xf>
    <xf numFmtId="0" fontId="7" fillId="5" borderId="31" xfId="0" applyNumberFormat="1" applyFont="1" applyFill="1" applyBorder="1" applyAlignment="1" applyProtection="1">
      <alignment horizontal="center" vertical="center"/>
      <protection hidden="1"/>
    </xf>
    <xf numFmtId="0" fontId="7" fillId="5" borderId="44" xfId="0" applyNumberFormat="1" applyFont="1" applyFill="1" applyBorder="1" applyAlignment="1" applyProtection="1">
      <alignment horizontal="center" vertical="top"/>
      <protection hidden="1"/>
    </xf>
    <xf numFmtId="0" fontId="7" fillId="5" borderId="4" xfId="0" applyNumberFormat="1" applyFont="1" applyFill="1" applyBorder="1" applyAlignment="1" applyProtection="1">
      <alignment horizontal="center" vertical="top"/>
      <protection hidden="1"/>
    </xf>
    <xf numFmtId="0" fontId="7" fillId="5" borderId="7" xfId="4" applyFont="1" applyFill="1" applyBorder="1" applyAlignment="1" applyProtection="1">
      <alignment horizontal="center" vertical="top"/>
      <protection hidden="1"/>
    </xf>
    <xf numFmtId="0" fontId="7" fillId="5" borderId="0" xfId="4" applyFont="1" applyFill="1" applyBorder="1" applyAlignment="1" applyProtection="1">
      <alignment horizontal="center" vertical="top"/>
      <protection hidden="1"/>
    </xf>
    <xf numFmtId="0" fontId="7" fillId="5" borderId="5" xfId="4" applyFont="1" applyFill="1" applyBorder="1" applyAlignment="1" applyProtection="1">
      <alignment horizontal="center" vertical="top"/>
      <protection hidden="1"/>
    </xf>
    <xf numFmtId="0" fontId="7" fillId="5" borderId="4" xfId="4" applyFont="1" applyFill="1" applyBorder="1" applyAlignment="1" applyProtection="1">
      <alignment horizontal="center" vertical="top"/>
      <protection hidden="1"/>
    </xf>
    <xf numFmtId="0" fontId="6" fillId="7" borderId="8" xfId="0" applyFont="1" applyFill="1" applyBorder="1" applyAlignment="1" applyProtection="1">
      <alignment horizontal="center" vertical="top" wrapText="1"/>
      <protection hidden="1"/>
    </xf>
    <xf numFmtId="0" fontId="22" fillId="12" borderId="8" xfId="0" applyFont="1" applyFill="1" applyBorder="1" applyAlignment="1" applyProtection="1">
      <alignment horizontal="center" vertical="top" wrapText="1"/>
      <protection hidden="1"/>
    </xf>
    <xf numFmtId="0" fontId="19" fillId="5" borderId="12" xfId="4" applyFont="1" applyFill="1" applyBorder="1" applyAlignment="1" applyProtection="1">
      <alignment horizontal="left" vertical="center" indent="1"/>
      <protection hidden="1"/>
    </xf>
    <xf numFmtId="0" fontId="7" fillId="5" borderId="5" xfId="0" applyFont="1" applyFill="1" applyBorder="1" applyAlignment="1" applyProtection="1">
      <alignment horizontal="center" vertical="top" wrapText="1"/>
      <protection hidden="1"/>
    </xf>
    <xf numFmtId="0" fontId="7" fillId="5" borderId="44" xfId="0" applyFont="1" applyFill="1" applyBorder="1" applyAlignment="1" applyProtection="1">
      <alignment horizontal="center" vertical="top"/>
      <protection hidden="1"/>
    </xf>
    <xf numFmtId="0" fontId="7" fillId="5" borderId="4" xfId="0" applyFont="1" applyFill="1" applyBorder="1" applyAlignment="1" applyProtection="1">
      <alignment horizontal="center" vertical="top"/>
      <protection hidden="1"/>
    </xf>
    <xf numFmtId="0" fontId="6" fillId="5" borderId="7" xfId="0" applyFont="1" applyFill="1" applyBorder="1" applyAlignment="1" applyProtection="1">
      <protection hidden="1"/>
    </xf>
    <xf numFmtId="0" fontId="6" fillId="5" borderId="8" xfId="0" applyFont="1" applyFill="1" applyBorder="1" applyAlignment="1" applyProtection="1">
      <protection hidden="1"/>
    </xf>
    <xf numFmtId="0" fontId="6" fillId="5" borderId="7" xfId="4" applyFont="1" applyFill="1" applyBorder="1" applyProtection="1">
      <protection hidden="1"/>
    </xf>
    <xf numFmtId="0" fontId="6" fillId="5" borderId="8" xfId="4" applyFont="1" applyFill="1" applyBorder="1" applyProtection="1">
      <protection hidden="1"/>
    </xf>
    <xf numFmtId="0" fontId="6" fillId="7" borderId="9" xfId="4" applyFont="1" applyFill="1" applyBorder="1" applyProtection="1">
      <protection hidden="1"/>
    </xf>
    <xf numFmtId="0" fontId="6" fillId="12" borderId="0" xfId="4" applyFont="1" applyFill="1" applyBorder="1" applyProtection="1">
      <protection hidden="1"/>
    </xf>
    <xf numFmtId="0" fontId="6" fillId="12" borderId="11" xfId="4" applyFont="1" applyFill="1" applyBorder="1" applyProtection="1">
      <protection hidden="1"/>
    </xf>
    <xf numFmtId="0" fontId="6" fillId="5" borderId="12" xfId="0" applyFont="1" applyFill="1" applyBorder="1" applyAlignment="1" applyProtection="1">
      <protection hidden="1"/>
    </xf>
    <xf numFmtId="0" fontId="7" fillId="5" borderId="10" xfId="0" applyFont="1" applyFill="1" applyBorder="1" applyAlignment="1" applyProtection="1">
      <alignment horizontal="center" vertical="center" wrapText="1"/>
      <protection hidden="1"/>
    </xf>
    <xf numFmtId="0" fontId="7" fillId="5" borderId="9" xfId="0" applyFont="1" applyFill="1" applyBorder="1" applyAlignment="1" applyProtection="1">
      <alignment horizontal="center" vertical="center" wrapText="1"/>
      <protection hidden="1"/>
    </xf>
    <xf numFmtId="0" fontId="7" fillId="5" borderId="7" xfId="0" applyFont="1" applyFill="1" applyBorder="1" applyAlignment="1" applyProtection="1">
      <alignment horizontal="center" vertical="center" wrapText="1"/>
      <protection hidden="1"/>
    </xf>
    <xf numFmtId="0" fontId="7" fillId="5" borderId="8" xfId="0" applyFont="1" applyFill="1" applyBorder="1" applyAlignment="1" applyProtection="1">
      <alignment horizontal="center" vertical="center" wrapText="1"/>
      <protection hidden="1"/>
    </xf>
    <xf numFmtId="0" fontId="7" fillId="5" borderId="0" xfId="0" applyFont="1" applyFill="1" applyBorder="1" applyAlignment="1" applyProtection="1">
      <alignment horizontal="center" vertical="center" wrapText="1"/>
      <protection hidden="1"/>
    </xf>
    <xf numFmtId="0" fontId="7" fillId="5" borderId="6" xfId="0" applyFont="1" applyFill="1" applyBorder="1" applyAlignment="1" applyProtection="1">
      <alignment horizontal="center" vertical="center" wrapText="1"/>
      <protection hidden="1"/>
    </xf>
    <xf numFmtId="0" fontId="7" fillId="5" borderId="11" xfId="0" applyFont="1" applyFill="1" applyBorder="1" applyAlignment="1" applyProtection="1">
      <alignment horizontal="center" vertical="center" wrapText="1"/>
      <protection hidden="1"/>
    </xf>
    <xf numFmtId="0" fontId="7" fillId="5" borderId="12" xfId="0" applyFont="1" applyFill="1" applyBorder="1" applyAlignment="1" applyProtection="1">
      <alignment horizontal="center" vertical="center" wrapText="1"/>
      <protection hidden="1"/>
    </xf>
    <xf numFmtId="0" fontId="7" fillId="7" borderId="10" xfId="0" applyFont="1" applyFill="1" applyBorder="1" applyAlignment="1" applyProtection="1">
      <alignment horizontal="center" vertical="center" wrapText="1"/>
      <protection hidden="1"/>
    </xf>
    <xf numFmtId="0" fontId="7" fillId="7" borderId="7" xfId="0" applyFont="1" applyFill="1" applyBorder="1" applyAlignment="1" applyProtection="1">
      <alignment horizontal="center" vertical="center" wrapText="1"/>
      <protection hidden="1"/>
    </xf>
    <xf numFmtId="0" fontId="7" fillId="7" borderId="11" xfId="0" applyFont="1" applyFill="1" applyBorder="1" applyAlignment="1" applyProtection="1">
      <alignment horizontal="center" vertical="center" wrapText="1"/>
      <protection hidden="1"/>
    </xf>
    <xf numFmtId="0" fontId="7" fillId="12" borderId="10" xfId="0" applyFont="1" applyFill="1" applyBorder="1" applyAlignment="1" applyProtection="1">
      <alignment horizontal="center" vertical="center" wrapText="1"/>
      <protection hidden="1"/>
    </xf>
    <xf numFmtId="0" fontId="7" fillId="12" borderId="7" xfId="0" applyFont="1" applyFill="1" applyBorder="1" applyAlignment="1" applyProtection="1">
      <alignment horizontal="center" vertical="center" wrapText="1"/>
      <protection hidden="1"/>
    </xf>
    <xf numFmtId="0" fontId="7" fillId="12" borderId="11" xfId="0" applyFont="1" applyFill="1" applyBorder="1" applyAlignment="1" applyProtection="1">
      <alignment horizontal="center" vertical="center" wrapText="1"/>
      <protection hidden="1"/>
    </xf>
    <xf numFmtId="0" fontId="7" fillId="5" borderId="10" xfId="0" applyFont="1" applyFill="1" applyBorder="1" applyAlignment="1" applyProtection="1">
      <alignment horizontal="center" vertical="top" wrapText="1"/>
      <protection hidden="1"/>
    </xf>
    <xf numFmtId="0" fontId="7" fillId="5" borderId="7" xfId="0" applyFont="1" applyFill="1" applyBorder="1" applyAlignment="1" applyProtection="1">
      <alignment horizontal="center" vertical="top" wrapText="1"/>
      <protection hidden="1"/>
    </xf>
    <xf numFmtId="0" fontId="7" fillId="5" borderId="9" xfId="0" applyFont="1" applyFill="1" applyBorder="1" applyAlignment="1" applyProtection="1">
      <alignment horizontal="center" vertical="top" wrapText="1"/>
      <protection hidden="1"/>
    </xf>
    <xf numFmtId="0" fontId="7" fillId="5" borderId="6" xfId="0" applyFont="1" applyFill="1" applyBorder="1" applyAlignment="1" applyProtection="1">
      <alignment horizontal="center" vertical="top" wrapText="1"/>
      <protection hidden="1"/>
    </xf>
    <xf numFmtId="0" fontId="7" fillId="5" borderId="8" xfId="0" applyFont="1" applyFill="1" applyBorder="1" applyAlignment="1" applyProtection="1">
      <alignment horizontal="center" vertical="top" wrapText="1"/>
      <protection hidden="1"/>
    </xf>
    <xf numFmtId="0" fontId="7" fillId="5" borderId="0" xfId="0" applyFont="1" applyFill="1" applyBorder="1" applyAlignment="1" applyProtection="1">
      <alignment horizontal="center" vertical="top" wrapText="1"/>
      <protection hidden="1"/>
    </xf>
    <xf numFmtId="0" fontId="7" fillId="5" borderId="12" xfId="0" applyFont="1" applyFill="1" applyBorder="1" applyAlignment="1" applyProtection="1">
      <alignment horizontal="center" vertical="top" wrapText="1"/>
      <protection hidden="1"/>
    </xf>
    <xf numFmtId="0" fontId="20" fillId="7" borderId="6" xfId="0" applyFont="1" applyFill="1" applyBorder="1" applyAlignment="1" applyProtection="1">
      <alignment horizontal="center" vertical="top" wrapText="1"/>
      <protection hidden="1"/>
    </xf>
    <xf numFmtId="0" fontId="20" fillId="7" borderId="7" xfId="0" applyFont="1" applyFill="1" applyBorder="1" applyAlignment="1" applyProtection="1">
      <alignment horizontal="center" vertical="top" wrapText="1"/>
      <protection hidden="1"/>
    </xf>
    <xf numFmtId="0" fontId="20" fillId="7" borderId="8" xfId="0" applyFont="1" applyFill="1" applyBorder="1" applyAlignment="1" applyProtection="1">
      <alignment horizontal="center" vertical="top" wrapText="1"/>
      <protection hidden="1"/>
    </xf>
    <xf numFmtId="0" fontId="21" fillId="12" borderId="6" xfId="0" applyFont="1" applyFill="1" applyBorder="1" applyAlignment="1" applyProtection="1">
      <alignment horizontal="center" vertical="top" wrapText="1"/>
      <protection hidden="1"/>
    </xf>
    <xf numFmtId="0" fontId="21" fillId="12" borderId="7" xfId="0" applyFont="1" applyFill="1" applyBorder="1" applyAlignment="1" applyProtection="1">
      <alignment horizontal="center" vertical="top" wrapText="1"/>
      <protection hidden="1"/>
    </xf>
    <xf numFmtId="0" fontId="21" fillId="12" borderId="8" xfId="0" applyFont="1" applyFill="1" applyBorder="1" applyAlignment="1" applyProtection="1">
      <alignment horizontal="center" vertical="top" wrapText="1"/>
      <protection hidden="1"/>
    </xf>
    <xf numFmtId="0" fontId="7" fillId="5" borderId="14" xfId="0" quotePrefix="1" applyFont="1" applyFill="1" applyBorder="1" applyAlignment="1" applyProtection="1">
      <alignment horizontal="center" vertical="center" wrapText="1"/>
      <protection hidden="1"/>
    </xf>
    <xf numFmtId="0" fontId="7" fillId="5" borderId="15" xfId="0" quotePrefix="1" applyFont="1" applyFill="1" applyBorder="1" applyAlignment="1" applyProtection="1">
      <alignment horizontal="center" vertical="center" wrapText="1"/>
      <protection hidden="1"/>
    </xf>
    <xf numFmtId="0" fontId="7" fillId="5" borderId="18" xfId="0" quotePrefix="1" applyFont="1" applyFill="1" applyBorder="1" applyAlignment="1" applyProtection="1">
      <alignment horizontal="center" vertical="center" wrapText="1"/>
      <protection hidden="1"/>
    </xf>
    <xf numFmtId="0" fontId="7" fillId="7" borderId="15" xfId="0" quotePrefix="1" applyFont="1" applyFill="1" applyBorder="1" applyAlignment="1" applyProtection="1">
      <alignment horizontal="center" vertical="center" wrapText="1"/>
      <protection hidden="1"/>
    </xf>
    <xf numFmtId="0" fontId="7" fillId="7" borderId="13" xfId="0" quotePrefix="1" applyFont="1" applyFill="1" applyBorder="1" applyAlignment="1" applyProtection="1">
      <alignment horizontal="center" vertical="center" wrapText="1"/>
      <protection hidden="1"/>
    </xf>
    <xf numFmtId="0" fontId="7" fillId="7" borderId="16" xfId="0" quotePrefix="1" applyFont="1" applyFill="1" applyBorder="1" applyAlignment="1" applyProtection="1">
      <alignment horizontal="center" vertical="center" wrapText="1"/>
      <protection hidden="1"/>
    </xf>
    <xf numFmtId="0" fontId="7" fillId="7" borderId="34" xfId="0" quotePrefix="1" applyFont="1" applyFill="1" applyBorder="1" applyAlignment="1" applyProtection="1">
      <alignment horizontal="center" vertical="center" wrapText="1"/>
      <protection hidden="1"/>
    </xf>
    <xf numFmtId="0" fontId="7" fillId="7" borderId="17" xfId="0" quotePrefix="1" applyFont="1" applyFill="1" applyBorder="1" applyAlignment="1" applyProtection="1">
      <alignment horizontal="center" vertical="center" wrapText="1"/>
      <protection hidden="1"/>
    </xf>
    <xf numFmtId="0" fontId="7" fillId="12" borderId="34" xfId="0" quotePrefix="1" applyFont="1" applyFill="1" applyBorder="1" applyAlignment="1" applyProtection="1">
      <alignment horizontal="center" vertical="center" wrapText="1"/>
      <protection hidden="1"/>
    </xf>
    <xf numFmtId="0" fontId="7" fillId="12" borderId="13" xfId="0" quotePrefix="1" applyFont="1" applyFill="1" applyBorder="1" applyAlignment="1" applyProtection="1">
      <alignment horizontal="center" vertical="center" wrapText="1"/>
      <protection hidden="1"/>
    </xf>
    <xf numFmtId="0" fontId="7" fillId="12" borderId="17" xfId="0" quotePrefix="1" applyFont="1" applyFill="1" applyBorder="1" applyAlignment="1" applyProtection="1">
      <alignment horizontal="center" vertical="center" wrapText="1"/>
      <protection hidden="1"/>
    </xf>
    <xf numFmtId="0" fontId="7" fillId="5" borderId="59" xfId="4" applyFont="1" applyFill="1" applyBorder="1" applyAlignment="1" applyProtection="1">
      <alignment horizontal="left" vertical="center" indent="1"/>
      <protection hidden="1"/>
    </xf>
    <xf numFmtId="172" fontId="6" fillId="5" borderId="19" xfId="7" applyNumberFormat="1" applyFont="1" applyFill="1" applyBorder="1" applyAlignment="1" applyProtection="1">
      <alignment vertical="center"/>
      <protection hidden="1"/>
    </xf>
    <xf numFmtId="172" fontId="6" fillId="5" borderId="20" xfId="7" applyNumberFormat="1" applyFont="1" applyFill="1" applyBorder="1" applyAlignment="1" applyProtection="1">
      <alignment vertical="center"/>
      <protection hidden="1"/>
    </xf>
    <xf numFmtId="178" fontId="5" fillId="0" borderId="20" xfId="4" applyNumberFormat="1" applyFont="1" applyFill="1" applyBorder="1" applyAlignment="1" applyProtection="1">
      <alignment vertical="center"/>
      <protection locked="0"/>
    </xf>
    <xf numFmtId="0" fontId="6" fillId="5" borderId="20" xfId="4" applyFont="1" applyFill="1" applyBorder="1" applyProtection="1">
      <protection hidden="1"/>
    </xf>
    <xf numFmtId="179" fontId="7" fillId="5" borderId="16" xfId="4" applyNumberFormat="1" applyFont="1" applyFill="1" applyBorder="1" applyAlignment="1" applyProtection="1">
      <alignment vertical="center"/>
      <protection hidden="1"/>
    </xf>
    <xf numFmtId="180" fontId="17" fillId="5" borderId="48" xfId="4" applyNumberFormat="1" applyFont="1" applyFill="1" applyBorder="1" applyAlignment="1" applyProtection="1">
      <alignment vertical="center"/>
      <protection hidden="1"/>
    </xf>
    <xf numFmtId="180" fontId="7" fillId="5" borderId="81" xfId="4" applyNumberFormat="1" applyFont="1" applyFill="1" applyBorder="1" applyAlignment="1" applyProtection="1">
      <alignment vertical="center"/>
      <protection hidden="1"/>
    </xf>
    <xf numFmtId="180" fontId="7" fillId="5" borderId="31" xfId="4" applyNumberFormat="1" applyFont="1" applyFill="1" applyBorder="1" applyAlignment="1" applyProtection="1">
      <alignment vertical="center"/>
      <protection hidden="1"/>
    </xf>
    <xf numFmtId="180" fontId="7" fillId="5" borderId="48" xfId="4" applyNumberFormat="1" applyFont="1" applyFill="1" applyBorder="1" applyAlignment="1" applyProtection="1">
      <alignment vertical="center"/>
      <protection hidden="1"/>
    </xf>
    <xf numFmtId="0" fontId="6" fillId="5" borderId="21" xfId="4" applyFont="1" applyFill="1" applyBorder="1" applyProtection="1">
      <protection hidden="1"/>
    </xf>
    <xf numFmtId="0" fontId="6" fillId="5" borderId="22" xfId="4" applyFont="1" applyFill="1" applyBorder="1" applyProtection="1">
      <protection hidden="1"/>
    </xf>
    <xf numFmtId="0" fontId="6" fillId="5" borderId="23" xfId="4" applyFont="1" applyFill="1" applyBorder="1" applyProtection="1">
      <protection hidden="1"/>
    </xf>
    <xf numFmtId="0" fontId="6" fillId="5" borderId="12" xfId="4" applyFont="1" applyFill="1" applyBorder="1" applyProtection="1">
      <protection hidden="1"/>
    </xf>
    <xf numFmtId="180" fontId="6" fillId="7" borderId="46" xfId="4" applyNumberFormat="1" applyFont="1" applyFill="1" applyBorder="1" applyAlignment="1" applyProtection="1">
      <alignment vertical="center"/>
      <protection hidden="1"/>
    </xf>
    <xf numFmtId="180" fontId="6" fillId="7" borderId="20" xfId="4" applyNumberFormat="1" applyFont="1" applyFill="1" applyBorder="1" applyAlignment="1" applyProtection="1">
      <alignment vertical="center"/>
      <protection hidden="1"/>
    </xf>
    <xf numFmtId="180" fontId="7" fillId="7" borderId="48" xfId="4" applyNumberFormat="1" applyFont="1" applyFill="1" applyBorder="1" applyAlignment="1" applyProtection="1">
      <alignment vertical="center"/>
      <protection hidden="1"/>
    </xf>
    <xf numFmtId="176" fontId="6" fillId="7" borderId="21" xfId="4" applyNumberFormat="1" applyFont="1" applyFill="1" applyBorder="1" applyAlignment="1" applyProtection="1">
      <alignment vertical="center"/>
      <protection hidden="1"/>
    </xf>
    <xf numFmtId="176" fontId="6" fillId="7" borderId="22" xfId="4" applyNumberFormat="1" applyFont="1" applyFill="1" applyBorder="1" applyAlignment="1" applyProtection="1">
      <alignment vertical="center"/>
      <protection hidden="1"/>
    </xf>
    <xf numFmtId="176" fontId="6" fillId="7" borderId="23" xfId="4" applyNumberFormat="1" applyFont="1" applyFill="1" applyBorder="1" applyAlignment="1" applyProtection="1">
      <alignment vertical="center"/>
      <protection hidden="1"/>
    </xf>
    <xf numFmtId="180" fontId="6" fillId="12" borderId="46" xfId="4" applyNumberFormat="1" applyFont="1" applyFill="1" applyBorder="1" applyAlignment="1" applyProtection="1">
      <alignment vertical="center"/>
      <protection hidden="1"/>
    </xf>
    <xf numFmtId="180" fontId="6" fillId="12" borderId="20" xfId="4" applyNumberFormat="1" applyFont="1" applyFill="1" applyBorder="1" applyAlignment="1" applyProtection="1">
      <alignment vertical="center"/>
      <protection hidden="1"/>
    </xf>
    <xf numFmtId="180" fontId="7" fillId="12" borderId="48" xfId="4" applyNumberFormat="1" applyFont="1" applyFill="1" applyBorder="1" applyAlignment="1" applyProtection="1">
      <alignment vertical="center"/>
      <protection hidden="1"/>
    </xf>
    <xf numFmtId="176" fontId="6" fillId="12" borderId="21" xfId="4" applyNumberFormat="1" applyFont="1" applyFill="1" applyBorder="1" applyAlignment="1" applyProtection="1">
      <alignment vertical="center"/>
      <protection hidden="1"/>
    </xf>
    <xf numFmtId="176" fontId="6" fillId="12" borderId="22" xfId="4" applyNumberFormat="1" applyFont="1" applyFill="1" applyBorder="1" applyAlignment="1" applyProtection="1">
      <alignment vertical="center"/>
      <protection hidden="1"/>
    </xf>
    <xf numFmtId="176" fontId="6" fillId="12" borderId="23" xfId="4" applyNumberFormat="1" applyFont="1" applyFill="1" applyBorder="1" applyAlignment="1" applyProtection="1">
      <alignment vertical="center"/>
      <protection hidden="1"/>
    </xf>
    <xf numFmtId="0" fontId="7" fillId="5" borderId="26" xfId="4" applyFont="1" applyFill="1" applyBorder="1" applyAlignment="1" applyProtection="1">
      <alignment horizontal="left" vertical="center" indent="1"/>
      <protection hidden="1"/>
    </xf>
    <xf numFmtId="172" fontId="6" fillId="5" borderId="24" xfId="7" applyNumberFormat="1" applyFont="1" applyFill="1" applyBorder="1" applyAlignment="1" applyProtection="1">
      <alignment vertical="center"/>
      <protection hidden="1"/>
    </xf>
    <xf numFmtId="172" fontId="6" fillId="5" borderId="22" xfId="7" applyNumberFormat="1" applyFont="1" applyFill="1" applyBorder="1" applyAlignment="1" applyProtection="1">
      <alignment vertical="center"/>
      <protection hidden="1"/>
    </xf>
    <xf numFmtId="176" fontId="5" fillId="5" borderId="47" xfId="4" applyNumberFormat="1" applyFont="1" applyFill="1" applyBorder="1" applyAlignment="1" applyProtection="1">
      <alignment horizontal="right" vertical="center" indent="1"/>
      <protection hidden="1"/>
    </xf>
    <xf numFmtId="0" fontId="6" fillId="5" borderId="25" xfId="4" applyFont="1" applyFill="1" applyBorder="1" applyProtection="1">
      <protection hidden="1"/>
    </xf>
    <xf numFmtId="0" fontId="6" fillId="5" borderId="26" xfId="4" applyFont="1" applyFill="1" applyBorder="1" applyProtection="1">
      <protection hidden="1"/>
    </xf>
    <xf numFmtId="0" fontId="6" fillId="7" borderId="24" xfId="4" applyFont="1" applyFill="1" applyBorder="1" applyProtection="1">
      <protection hidden="1"/>
    </xf>
    <xf numFmtId="0" fontId="6" fillId="7" borderId="22" xfId="4" applyFont="1" applyFill="1" applyBorder="1" applyProtection="1">
      <protection hidden="1"/>
    </xf>
    <xf numFmtId="0" fontId="6" fillId="7" borderId="25" xfId="4" applyFont="1" applyFill="1" applyBorder="1" applyProtection="1">
      <protection hidden="1"/>
    </xf>
    <xf numFmtId="0" fontId="6" fillId="7" borderId="21" xfId="4" applyFont="1" applyFill="1" applyBorder="1" applyProtection="1">
      <protection hidden="1"/>
    </xf>
    <xf numFmtId="0" fontId="6" fillId="7" borderId="23" xfId="4" applyFont="1" applyFill="1" applyBorder="1" applyProtection="1">
      <protection hidden="1"/>
    </xf>
    <xf numFmtId="0" fontId="6" fillId="12" borderId="24" xfId="4" applyFont="1" applyFill="1" applyBorder="1" applyProtection="1">
      <protection hidden="1"/>
    </xf>
    <xf numFmtId="0" fontId="6" fillId="12" borderId="22" xfId="4" applyFont="1" applyFill="1" applyBorder="1" applyProtection="1">
      <protection hidden="1"/>
    </xf>
    <xf numFmtId="0" fontId="6" fillId="12" borderId="25" xfId="4" applyFont="1" applyFill="1" applyBorder="1" applyProtection="1">
      <protection hidden="1"/>
    </xf>
    <xf numFmtId="0" fontId="6" fillId="12" borderId="21" xfId="4" applyFont="1" applyFill="1" applyBorder="1" applyProtection="1">
      <protection hidden="1"/>
    </xf>
    <xf numFmtId="0" fontId="6" fillId="12" borderId="23" xfId="4" applyFont="1" applyFill="1" applyBorder="1" applyProtection="1">
      <protection hidden="1"/>
    </xf>
    <xf numFmtId="0" fontId="19" fillId="5" borderId="12" xfId="4" applyFont="1" applyFill="1" applyBorder="1" applyAlignment="1" applyProtection="1">
      <alignment horizontal="left" vertical="center" indent="3"/>
      <protection hidden="1"/>
    </xf>
    <xf numFmtId="172" fontId="6" fillId="5" borderId="27" xfId="7" applyNumberFormat="1" applyFont="1" applyFill="1" applyBorder="1" applyAlignment="1" applyProtection="1">
      <alignment vertical="center"/>
      <protection hidden="1"/>
    </xf>
    <xf numFmtId="172" fontId="6" fillId="5" borderId="28" xfId="7" applyNumberFormat="1" applyFont="1" applyFill="1" applyBorder="1" applyAlignment="1" applyProtection="1">
      <alignment vertical="center"/>
      <protection hidden="1"/>
    </xf>
    <xf numFmtId="176" fontId="5" fillId="5" borderId="62" xfId="4" applyNumberFormat="1" applyFont="1" applyFill="1" applyBorder="1" applyAlignment="1" applyProtection="1">
      <alignment horizontal="right" vertical="center" indent="1"/>
      <protection hidden="1"/>
    </xf>
    <xf numFmtId="0" fontId="6" fillId="5" borderId="28" xfId="4" applyFont="1" applyFill="1" applyBorder="1" applyProtection="1">
      <protection hidden="1"/>
    </xf>
    <xf numFmtId="0" fontId="6" fillId="5" borderId="29" xfId="4" applyFont="1" applyFill="1" applyBorder="1" applyProtection="1">
      <protection hidden="1"/>
    </xf>
    <xf numFmtId="0" fontId="6" fillId="5" borderId="10" xfId="4" applyFont="1" applyFill="1" applyBorder="1" applyProtection="1">
      <protection hidden="1"/>
    </xf>
    <xf numFmtId="0" fontId="6" fillId="5" borderId="11" xfId="4" applyFont="1" applyFill="1" applyBorder="1" applyProtection="1">
      <protection hidden="1"/>
    </xf>
    <xf numFmtId="0" fontId="6" fillId="7" borderId="6" xfId="4" applyFont="1" applyFill="1" applyBorder="1" applyProtection="1">
      <protection hidden="1"/>
    </xf>
    <xf numFmtId="0" fontId="6" fillId="7" borderId="7" xfId="4" applyFont="1" applyFill="1" applyBorder="1" applyProtection="1">
      <protection hidden="1"/>
    </xf>
    <xf numFmtId="0" fontId="6" fillId="7" borderId="29" xfId="4" applyFont="1" applyFill="1" applyBorder="1" applyProtection="1">
      <protection hidden="1"/>
    </xf>
    <xf numFmtId="0" fontId="6" fillId="7" borderId="10" xfId="4" applyFont="1" applyFill="1" applyBorder="1" applyProtection="1">
      <protection hidden="1"/>
    </xf>
    <xf numFmtId="0" fontId="6" fillId="7" borderId="11" xfId="4" applyFont="1" applyFill="1" applyBorder="1" applyProtection="1">
      <protection hidden="1"/>
    </xf>
    <xf numFmtId="0" fontId="6" fillId="12" borderId="6" xfId="4" applyFont="1" applyFill="1" applyBorder="1" applyProtection="1">
      <protection hidden="1"/>
    </xf>
    <xf numFmtId="0" fontId="6" fillId="12" borderId="7" xfId="4" applyFont="1" applyFill="1" applyBorder="1" applyProtection="1">
      <protection hidden="1"/>
    </xf>
    <xf numFmtId="0" fontId="6" fillId="12" borderId="29" xfId="4" applyFont="1" applyFill="1" applyBorder="1" applyProtection="1">
      <protection hidden="1"/>
    </xf>
    <xf numFmtId="0" fontId="6" fillId="12" borderId="10" xfId="4" applyFont="1" applyFill="1" applyBorder="1" applyProtection="1">
      <protection hidden="1"/>
    </xf>
    <xf numFmtId="0" fontId="23" fillId="5" borderId="12" xfId="4" applyFont="1" applyFill="1" applyBorder="1" applyAlignment="1" applyProtection="1">
      <alignment horizontal="left" vertical="center" indent="4"/>
      <protection hidden="1"/>
    </xf>
    <xf numFmtId="178" fontId="6" fillId="9" borderId="30" xfId="7" applyNumberFormat="1" applyFont="1" applyFill="1" applyBorder="1" applyAlignment="1" applyProtection="1">
      <alignment vertical="center"/>
      <protection hidden="1"/>
    </xf>
    <xf numFmtId="178" fontId="6" fillId="0" borderId="31" xfId="7" applyNumberFormat="1" applyFont="1" applyFill="1" applyBorder="1" applyAlignment="1" applyProtection="1">
      <alignment vertical="center"/>
      <protection locked="0"/>
    </xf>
    <xf numFmtId="180" fontId="17" fillId="5" borderId="40" xfId="4" applyNumberFormat="1" applyFont="1" applyFill="1" applyBorder="1" applyAlignment="1" applyProtection="1">
      <alignment vertical="center"/>
      <protection hidden="1"/>
    </xf>
    <xf numFmtId="178" fontId="6" fillId="0" borderId="30" xfId="7" applyNumberFormat="1" applyFont="1" applyFill="1" applyBorder="1" applyAlignment="1" applyProtection="1">
      <alignment vertical="center"/>
      <protection locked="0"/>
    </xf>
    <xf numFmtId="180" fontId="17" fillId="5" borderId="32" xfId="4" applyNumberFormat="1" applyFont="1" applyFill="1" applyBorder="1" applyAlignment="1" applyProtection="1">
      <alignment vertical="center"/>
      <protection hidden="1"/>
    </xf>
    <xf numFmtId="180" fontId="7" fillId="5" borderId="30" xfId="4" applyNumberFormat="1" applyFont="1" applyFill="1" applyBorder="1" applyAlignment="1" applyProtection="1">
      <alignment vertical="center"/>
      <protection hidden="1"/>
    </xf>
    <xf numFmtId="180" fontId="7" fillId="5" borderId="33" xfId="4" applyNumberFormat="1" applyFont="1" applyFill="1" applyBorder="1" applyAlignment="1" applyProtection="1">
      <alignment vertical="center"/>
      <protection hidden="1"/>
    </xf>
    <xf numFmtId="172" fontId="6" fillId="5" borderId="10" xfId="7" applyNumberFormat="1" applyFont="1" applyFill="1" applyBorder="1" applyAlignment="1" applyProtection="1">
      <alignment vertical="center"/>
      <protection hidden="1"/>
    </xf>
    <xf numFmtId="172" fontId="6" fillId="5" borderId="7" xfId="7" applyNumberFormat="1" applyFont="1" applyFill="1" applyBorder="1" applyAlignment="1" applyProtection="1">
      <alignment vertical="center"/>
      <protection hidden="1"/>
    </xf>
    <xf numFmtId="180" fontId="6" fillId="7" borderId="39" xfId="4" applyNumberFormat="1" applyFont="1" applyFill="1" applyBorder="1" applyAlignment="1" applyProtection="1">
      <alignment vertical="center"/>
      <protection hidden="1"/>
    </xf>
    <xf numFmtId="180" fontId="6" fillId="7" borderId="31" xfId="4" applyNumberFormat="1" applyFont="1" applyFill="1" applyBorder="1" applyAlignment="1" applyProtection="1">
      <alignment vertical="center"/>
      <protection hidden="1"/>
    </xf>
    <xf numFmtId="180" fontId="7" fillId="7" borderId="33" xfId="4" applyNumberFormat="1" applyFont="1" applyFill="1" applyBorder="1" applyAlignment="1" applyProtection="1">
      <alignment vertical="center"/>
      <protection hidden="1"/>
    </xf>
    <xf numFmtId="176" fontId="6" fillId="7" borderId="39" xfId="4" applyNumberFormat="1" applyFont="1" applyFill="1" applyBorder="1" applyAlignment="1" applyProtection="1">
      <alignment vertical="center"/>
      <protection hidden="1"/>
    </xf>
    <xf numFmtId="176" fontId="6" fillId="7" borderId="31" xfId="4" applyNumberFormat="1" applyFont="1" applyFill="1" applyBorder="1" applyAlignment="1" applyProtection="1">
      <alignment vertical="center"/>
      <protection hidden="1"/>
    </xf>
    <xf numFmtId="176" fontId="6" fillId="7" borderId="35" xfId="4" applyNumberFormat="1" applyFont="1" applyFill="1" applyBorder="1" applyAlignment="1" applyProtection="1">
      <alignment vertical="center"/>
      <protection hidden="1"/>
    </xf>
    <xf numFmtId="180" fontId="6" fillId="12" borderId="39" xfId="4" applyNumberFormat="1" applyFont="1" applyFill="1" applyBorder="1" applyAlignment="1" applyProtection="1">
      <alignment vertical="center"/>
      <protection hidden="1"/>
    </xf>
    <xf numFmtId="180" fontId="6" fillId="12" borderId="31" xfId="4" applyNumberFormat="1" applyFont="1" applyFill="1" applyBorder="1" applyAlignment="1" applyProtection="1">
      <alignment vertical="center"/>
      <protection hidden="1"/>
    </xf>
    <xf numFmtId="180" fontId="7" fillId="12" borderId="33" xfId="4" applyNumberFormat="1" applyFont="1" applyFill="1" applyBorder="1" applyAlignment="1" applyProtection="1">
      <alignment vertical="center"/>
      <protection hidden="1"/>
    </xf>
    <xf numFmtId="176" fontId="6" fillId="12" borderId="39" xfId="4" applyNumberFormat="1" applyFont="1" applyFill="1" applyBorder="1" applyAlignment="1" applyProtection="1">
      <alignment vertical="center"/>
      <protection hidden="1"/>
    </xf>
    <xf numFmtId="176" fontId="6" fillId="12" borderId="31" xfId="4" applyNumberFormat="1" applyFont="1" applyFill="1" applyBorder="1" applyAlignment="1" applyProtection="1">
      <alignment vertical="center"/>
      <protection hidden="1"/>
    </xf>
    <xf numFmtId="176" fontId="6" fillId="12" borderId="35" xfId="4" applyNumberFormat="1" applyFont="1" applyFill="1" applyBorder="1" applyAlignment="1" applyProtection="1">
      <alignment vertical="center"/>
      <protection hidden="1"/>
    </xf>
    <xf numFmtId="0" fontId="7" fillId="5" borderId="18" xfId="4" applyFont="1" applyFill="1" applyBorder="1" applyAlignment="1" applyProtection="1">
      <alignment horizontal="left" vertical="center" indent="3"/>
      <protection hidden="1"/>
    </xf>
    <xf numFmtId="180" fontId="7" fillId="5" borderId="39" xfId="4" applyNumberFormat="1" applyFont="1" applyFill="1" applyBorder="1" applyAlignment="1" applyProtection="1">
      <alignment vertical="center"/>
      <protection hidden="1"/>
    </xf>
    <xf numFmtId="180" fontId="7" fillId="5" borderId="49" xfId="4" applyNumberFormat="1" applyFont="1" applyFill="1" applyBorder="1" applyAlignment="1" applyProtection="1">
      <alignment vertical="center"/>
      <protection hidden="1"/>
    </xf>
    <xf numFmtId="180" fontId="7" fillId="5" borderId="50" xfId="4" applyNumberFormat="1" applyFont="1" applyFill="1" applyBorder="1" applyAlignment="1" applyProtection="1">
      <alignment vertical="center"/>
      <protection hidden="1"/>
    </xf>
    <xf numFmtId="180" fontId="7" fillId="5" borderId="51" xfId="4" applyNumberFormat="1" applyFont="1" applyFill="1" applyBorder="1" applyAlignment="1" applyProtection="1">
      <alignment vertical="center"/>
      <protection hidden="1"/>
    </xf>
    <xf numFmtId="180" fontId="7" fillId="5" borderId="54" xfId="4" applyNumberFormat="1" applyFont="1" applyFill="1" applyBorder="1" applyAlignment="1" applyProtection="1">
      <alignment vertical="center"/>
      <protection hidden="1"/>
    </xf>
    <xf numFmtId="0" fontId="6" fillId="5" borderId="34" xfId="4" applyFont="1" applyFill="1" applyBorder="1" applyProtection="1">
      <protection hidden="1"/>
    </xf>
    <xf numFmtId="0" fontId="6" fillId="5" borderId="13" xfId="4" applyFont="1" applyFill="1" applyBorder="1" applyProtection="1">
      <protection hidden="1"/>
    </xf>
    <xf numFmtId="0" fontId="6" fillId="5" borderId="17" xfId="4" applyFont="1" applyFill="1" applyBorder="1" applyProtection="1">
      <protection hidden="1"/>
    </xf>
    <xf numFmtId="0" fontId="6" fillId="5" borderId="18" xfId="4" applyFont="1" applyFill="1" applyBorder="1" applyProtection="1">
      <protection hidden="1"/>
    </xf>
    <xf numFmtId="180" fontId="7" fillId="7" borderId="49" xfId="4" applyNumberFormat="1" applyFont="1" applyFill="1" applyBorder="1" applyAlignment="1" applyProtection="1">
      <alignment vertical="center"/>
      <protection hidden="1"/>
    </xf>
    <xf numFmtId="180" fontId="7" fillId="7" borderId="51" xfId="4" applyNumberFormat="1" applyFont="1" applyFill="1" applyBorder="1" applyAlignment="1" applyProtection="1">
      <alignment vertical="center"/>
      <protection hidden="1"/>
    </xf>
    <xf numFmtId="176" fontId="7" fillId="7" borderId="34" xfId="4" applyNumberFormat="1" applyFont="1" applyFill="1" applyBorder="1" applyAlignment="1" applyProtection="1">
      <alignment vertical="center"/>
      <protection hidden="1"/>
    </xf>
    <xf numFmtId="176" fontId="7" fillId="7" borderId="13" xfId="4" applyNumberFormat="1" applyFont="1" applyFill="1" applyBorder="1" applyAlignment="1" applyProtection="1">
      <alignment vertical="center"/>
      <protection hidden="1"/>
    </xf>
    <xf numFmtId="176" fontId="7" fillId="7" borderId="17" xfId="4" applyNumberFormat="1" applyFont="1" applyFill="1" applyBorder="1" applyAlignment="1" applyProtection="1">
      <alignment vertical="center"/>
      <protection hidden="1"/>
    </xf>
    <xf numFmtId="180" fontId="7" fillId="12" borderId="49" xfId="4" applyNumberFormat="1" applyFont="1" applyFill="1" applyBorder="1" applyAlignment="1" applyProtection="1">
      <alignment vertical="center"/>
      <protection hidden="1"/>
    </xf>
    <xf numFmtId="180" fontId="7" fillId="12" borderId="51" xfId="4" applyNumberFormat="1" applyFont="1" applyFill="1" applyBorder="1" applyAlignment="1" applyProtection="1">
      <alignment vertical="center"/>
      <protection hidden="1"/>
    </xf>
    <xf numFmtId="176" fontId="7" fillId="12" borderId="34" xfId="4" applyNumberFormat="1" applyFont="1" applyFill="1" applyBorder="1" applyAlignment="1" applyProtection="1">
      <alignment vertical="center"/>
      <protection hidden="1"/>
    </xf>
    <xf numFmtId="176" fontId="7" fillId="12" borderId="13" xfId="4" applyNumberFormat="1" applyFont="1" applyFill="1" applyBorder="1" applyAlignment="1" applyProtection="1">
      <alignment vertical="center"/>
      <protection hidden="1"/>
    </xf>
    <xf numFmtId="176" fontId="7" fillId="12" borderId="17" xfId="4" applyNumberFormat="1" applyFont="1" applyFill="1" applyBorder="1" applyAlignment="1" applyProtection="1">
      <alignment vertical="center"/>
      <protection hidden="1"/>
    </xf>
    <xf numFmtId="0" fontId="6" fillId="7" borderId="8" xfId="4" applyFont="1" applyFill="1" applyBorder="1" applyProtection="1">
      <protection hidden="1"/>
    </xf>
    <xf numFmtId="0" fontId="6" fillId="12" borderId="8" xfId="4" applyFont="1" applyFill="1" applyBorder="1" applyProtection="1">
      <protection hidden="1"/>
    </xf>
    <xf numFmtId="178" fontId="6" fillId="0" borderId="32" xfId="7" applyNumberFormat="1" applyFont="1" applyFill="1" applyBorder="1" applyAlignment="1" applyProtection="1">
      <alignment vertical="center"/>
      <protection locked="0"/>
    </xf>
    <xf numFmtId="180" fontId="17" fillId="5" borderId="33" xfId="4" applyNumberFormat="1" applyFont="1" applyFill="1" applyBorder="1" applyAlignment="1" applyProtection="1">
      <alignment vertical="center"/>
      <protection hidden="1"/>
    </xf>
    <xf numFmtId="180" fontId="17" fillId="5" borderId="31" xfId="4" applyNumberFormat="1" applyFont="1" applyFill="1" applyBorder="1" applyAlignment="1" applyProtection="1">
      <alignment vertical="center"/>
      <protection hidden="1"/>
    </xf>
    <xf numFmtId="178" fontId="6" fillId="0" borderId="39" xfId="7" applyNumberFormat="1" applyFont="1" applyFill="1" applyBorder="1" applyAlignment="1" applyProtection="1">
      <alignment vertical="center"/>
      <protection locked="0" hidden="1"/>
    </xf>
    <xf numFmtId="178" fontId="6" fillId="0" borderId="31" xfId="7" applyNumberFormat="1" applyFont="1" applyFill="1" applyBorder="1" applyAlignment="1" applyProtection="1">
      <alignment vertical="center"/>
      <protection locked="0" hidden="1"/>
    </xf>
    <xf numFmtId="180" fontId="7" fillId="5" borderId="35" xfId="4" applyNumberFormat="1" applyFont="1" applyFill="1" applyBorder="1" applyAlignment="1" applyProtection="1">
      <alignment vertical="center"/>
      <protection hidden="1"/>
    </xf>
    <xf numFmtId="180" fontId="7" fillId="5" borderId="43" xfId="4" applyNumberFormat="1" applyFont="1" applyFill="1" applyBorder="1" applyAlignment="1" applyProtection="1">
      <alignment vertical="center"/>
      <protection hidden="1"/>
    </xf>
    <xf numFmtId="180" fontId="7" fillId="5" borderId="52" xfId="4" applyNumberFormat="1" applyFont="1" applyFill="1" applyBorder="1" applyAlignment="1" applyProtection="1">
      <alignment vertical="center"/>
      <protection hidden="1"/>
    </xf>
    <xf numFmtId="180" fontId="7" fillId="5" borderId="53" xfId="4" applyNumberFormat="1" applyFont="1" applyFill="1" applyBorder="1" applyAlignment="1" applyProtection="1">
      <alignment vertical="center"/>
      <protection hidden="1"/>
    </xf>
    <xf numFmtId="180" fontId="7" fillId="5" borderId="55" xfId="4" applyNumberFormat="1" applyFont="1" applyFill="1" applyBorder="1" applyAlignment="1" applyProtection="1">
      <alignment vertical="center"/>
      <protection hidden="1"/>
    </xf>
    <xf numFmtId="180" fontId="7" fillId="7" borderId="15" xfId="4" applyNumberFormat="1" applyFont="1" applyFill="1" applyBorder="1" applyAlignment="1" applyProtection="1">
      <alignment vertical="center"/>
      <protection hidden="1"/>
    </xf>
    <xf numFmtId="180" fontId="7" fillId="7" borderId="13" xfId="4" applyNumberFormat="1" applyFont="1" applyFill="1" applyBorder="1" applyAlignment="1" applyProtection="1">
      <alignment vertical="center"/>
      <protection hidden="1"/>
    </xf>
    <xf numFmtId="176" fontId="7" fillId="7" borderId="10" xfId="4" applyNumberFormat="1" applyFont="1" applyFill="1" applyBorder="1" applyAlignment="1" applyProtection="1">
      <alignment vertical="center"/>
      <protection hidden="1"/>
    </xf>
    <xf numFmtId="176" fontId="7" fillId="7" borderId="7" xfId="4" applyNumberFormat="1" applyFont="1" applyFill="1" applyBorder="1" applyAlignment="1" applyProtection="1">
      <alignment vertical="center"/>
      <protection hidden="1"/>
    </xf>
    <xf numFmtId="176" fontId="7" fillId="7" borderId="11" xfId="4" applyNumberFormat="1" applyFont="1" applyFill="1" applyBorder="1" applyAlignment="1" applyProtection="1">
      <alignment vertical="center"/>
      <protection hidden="1"/>
    </xf>
    <xf numFmtId="180" fontId="7" fillId="12" borderId="15" xfId="4" applyNumberFormat="1" applyFont="1" applyFill="1" applyBorder="1" applyAlignment="1" applyProtection="1">
      <alignment vertical="center"/>
      <protection hidden="1"/>
    </xf>
    <xf numFmtId="180" fontId="7" fillId="12" borderId="13" xfId="4" applyNumberFormat="1" applyFont="1" applyFill="1" applyBorder="1" applyAlignment="1" applyProtection="1">
      <alignment vertical="center"/>
      <protection hidden="1"/>
    </xf>
    <xf numFmtId="176" fontId="7" fillId="12" borderId="10" xfId="4" applyNumberFormat="1" applyFont="1" applyFill="1" applyBorder="1" applyAlignment="1" applyProtection="1">
      <alignment vertical="center"/>
      <protection hidden="1"/>
    </xf>
    <xf numFmtId="176" fontId="7" fillId="12" borderId="7" xfId="4" applyNumberFormat="1" applyFont="1" applyFill="1" applyBorder="1" applyAlignment="1" applyProtection="1">
      <alignment vertical="center"/>
      <protection hidden="1"/>
    </xf>
    <xf numFmtId="176" fontId="7" fillId="12" borderId="11" xfId="4" applyNumberFormat="1" applyFont="1" applyFill="1" applyBorder="1" applyAlignment="1" applyProtection="1">
      <alignment vertical="center"/>
      <protection hidden="1"/>
    </xf>
    <xf numFmtId="0" fontId="7" fillId="5" borderId="12" xfId="4" applyFont="1" applyFill="1" applyBorder="1" applyAlignment="1" applyProtection="1">
      <alignment horizontal="left" vertical="center" indent="1"/>
      <protection hidden="1"/>
    </xf>
    <xf numFmtId="172" fontId="6" fillId="5" borderId="41" xfId="7" applyNumberFormat="1" applyFont="1" applyFill="1" applyBorder="1" applyAlignment="1" applyProtection="1">
      <alignment vertical="center"/>
      <protection hidden="1"/>
    </xf>
    <xf numFmtId="172" fontId="6" fillId="5" borderId="6" xfId="7" applyNumberFormat="1" applyFont="1" applyFill="1" applyBorder="1" applyAlignment="1" applyProtection="1">
      <alignment vertical="center"/>
      <protection hidden="1"/>
    </xf>
    <xf numFmtId="176" fontId="5" fillId="5" borderId="9" xfId="4" applyNumberFormat="1" applyFont="1" applyFill="1" applyBorder="1" applyAlignment="1" applyProtection="1">
      <alignment horizontal="right" vertical="center" indent="1"/>
      <protection hidden="1"/>
    </xf>
    <xf numFmtId="0" fontId="19" fillId="5" borderId="12" xfId="4" applyFont="1" applyFill="1" applyBorder="1" applyAlignment="1" applyProtection="1">
      <alignment horizontal="left" vertical="center" indent="4"/>
      <protection hidden="1"/>
    </xf>
    <xf numFmtId="172" fontId="6" fillId="5" borderId="42" xfId="7" applyNumberFormat="1" applyFont="1" applyFill="1" applyBorder="1" applyAlignment="1" applyProtection="1">
      <alignment vertical="center"/>
      <protection hidden="1"/>
    </xf>
    <xf numFmtId="172" fontId="6" fillId="5" borderId="36" xfId="7" applyNumberFormat="1" applyFont="1" applyFill="1" applyBorder="1" applyAlignment="1" applyProtection="1">
      <alignment vertical="center"/>
      <protection hidden="1"/>
    </xf>
    <xf numFmtId="0" fontId="6" fillId="5" borderId="37" xfId="4" applyFont="1" applyFill="1" applyBorder="1" applyProtection="1">
      <protection hidden="1"/>
    </xf>
    <xf numFmtId="0" fontId="6" fillId="5" borderId="38" xfId="4" applyFont="1" applyFill="1" applyBorder="1" applyProtection="1">
      <protection hidden="1"/>
    </xf>
    <xf numFmtId="0" fontId="23" fillId="5" borderId="12" xfId="4" applyFont="1" applyFill="1" applyBorder="1" applyAlignment="1" applyProtection="1">
      <alignment horizontal="left" vertical="center" indent="5"/>
      <protection hidden="1"/>
    </xf>
    <xf numFmtId="178" fontId="6" fillId="0" borderId="39" xfId="7" applyNumberFormat="1" applyFont="1" applyFill="1" applyBorder="1" applyAlignment="1" applyProtection="1">
      <alignment vertical="center"/>
      <protection locked="0"/>
    </xf>
    <xf numFmtId="178" fontId="6" fillId="9" borderId="39" xfId="7" applyNumberFormat="1" applyFont="1" applyFill="1" applyBorder="1" applyAlignment="1" applyProtection="1">
      <alignment vertical="center"/>
      <protection hidden="1"/>
    </xf>
    <xf numFmtId="172" fontId="6" fillId="5" borderId="30" xfId="7" applyNumberFormat="1" applyFont="1" applyFill="1" applyBorder="1" applyAlignment="1" applyProtection="1">
      <alignment vertical="center"/>
      <protection hidden="1"/>
    </xf>
    <xf numFmtId="172" fontId="6" fillId="5" borderId="32" xfId="7" applyNumberFormat="1" applyFont="1" applyFill="1" applyBorder="1" applyAlignment="1" applyProtection="1">
      <alignment vertical="center"/>
      <protection hidden="1"/>
    </xf>
    <xf numFmtId="176" fontId="5" fillId="5" borderId="40" xfId="4" applyNumberFormat="1" applyFont="1" applyFill="1" applyBorder="1" applyAlignment="1" applyProtection="1">
      <alignment horizontal="right" vertical="center" indent="1"/>
      <protection hidden="1"/>
    </xf>
    <xf numFmtId="172" fontId="6" fillId="5" borderId="31" xfId="7" applyNumberFormat="1" applyFont="1" applyFill="1" applyBorder="1" applyAlignment="1" applyProtection="1">
      <alignment vertical="center"/>
      <protection hidden="1"/>
    </xf>
    <xf numFmtId="0" fontId="6" fillId="5" borderId="31" xfId="4" applyFont="1" applyFill="1" applyBorder="1" applyProtection="1">
      <protection hidden="1"/>
    </xf>
    <xf numFmtId="0" fontId="6" fillId="5" borderId="33" xfId="4" applyFont="1" applyFill="1" applyBorder="1" applyProtection="1">
      <protection hidden="1"/>
    </xf>
    <xf numFmtId="172" fontId="6" fillId="5" borderId="39" xfId="7" applyNumberFormat="1" applyFont="1" applyFill="1" applyBorder="1" applyAlignment="1" applyProtection="1">
      <alignment vertical="center"/>
      <protection hidden="1"/>
    </xf>
    <xf numFmtId="0" fontId="6" fillId="5" borderId="35" xfId="4" applyFont="1" applyFill="1" applyBorder="1" applyProtection="1">
      <protection hidden="1"/>
    </xf>
    <xf numFmtId="0" fontId="6" fillId="7" borderId="30" xfId="4" applyFont="1" applyFill="1" applyBorder="1" applyProtection="1">
      <protection hidden="1"/>
    </xf>
    <xf numFmtId="0" fontId="6" fillId="7" borderId="31" xfId="4" applyFont="1" applyFill="1" applyBorder="1" applyProtection="1">
      <protection hidden="1"/>
    </xf>
    <xf numFmtId="0" fontId="6" fillId="7" borderId="33" xfId="4" applyFont="1" applyFill="1" applyBorder="1" applyProtection="1">
      <protection hidden="1"/>
    </xf>
    <xf numFmtId="0" fontId="6" fillId="12" borderId="30" xfId="4" applyFont="1" applyFill="1" applyBorder="1" applyProtection="1">
      <protection hidden="1"/>
    </xf>
    <xf numFmtId="0" fontId="6" fillId="12" borderId="31" xfId="4" applyFont="1" applyFill="1" applyBorder="1" applyProtection="1">
      <protection hidden="1"/>
    </xf>
    <xf numFmtId="0" fontId="6" fillId="12" borderId="33" xfId="4" applyFont="1" applyFill="1" applyBorder="1" applyProtection="1">
      <protection hidden="1"/>
    </xf>
    <xf numFmtId="172" fontId="6" fillId="5" borderId="3" xfId="7" applyNumberFormat="1" applyFont="1" applyFill="1" applyBorder="1" applyAlignment="1" applyProtection="1">
      <alignment vertical="center"/>
      <protection hidden="1"/>
    </xf>
    <xf numFmtId="172" fontId="6" fillId="5" borderId="5" xfId="7" applyNumberFormat="1" applyFont="1" applyFill="1" applyBorder="1" applyAlignment="1" applyProtection="1">
      <alignment vertical="center"/>
      <protection hidden="1"/>
    </xf>
    <xf numFmtId="0" fontId="6" fillId="5" borderId="45" xfId="4" applyFont="1" applyFill="1" applyBorder="1" applyProtection="1">
      <protection hidden="1"/>
    </xf>
    <xf numFmtId="180" fontId="6" fillId="7" borderId="71" xfId="4" applyNumberFormat="1" applyFont="1" applyFill="1" applyBorder="1" applyAlignment="1" applyProtection="1">
      <alignment vertical="center"/>
      <protection hidden="1"/>
    </xf>
    <xf numFmtId="180" fontId="6" fillId="7" borderId="5" xfId="4" applyNumberFormat="1" applyFont="1" applyFill="1" applyBorder="1" applyAlignment="1" applyProtection="1">
      <alignment vertical="center"/>
      <protection hidden="1"/>
    </xf>
    <xf numFmtId="180" fontId="7" fillId="7" borderId="4" xfId="4" applyNumberFormat="1" applyFont="1" applyFill="1" applyBorder="1" applyAlignment="1" applyProtection="1">
      <alignment vertical="center"/>
      <protection hidden="1"/>
    </xf>
    <xf numFmtId="176" fontId="6" fillId="7" borderId="10" xfId="4" applyNumberFormat="1" applyFont="1" applyFill="1" applyBorder="1" applyAlignment="1" applyProtection="1">
      <alignment vertical="center"/>
      <protection hidden="1"/>
    </xf>
    <xf numFmtId="176" fontId="6" fillId="7" borderId="7" xfId="4" applyNumberFormat="1" applyFont="1" applyFill="1" applyBorder="1" applyAlignment="1" applyProtection="1">
      <alignment vertical="center"/>
      <protection hidden="1"/>
    </xf>
    <xf numFmtId="176" fontId="6" fillId="7" borderId="11" xfId="4" applyNumberFormat="1" applyFont="1" applyFill="1" applyBorder="1" applyAlignment="1" applyProtection="1">
      <alignment vertical="center"/>
      <protection hidden="1"/>
    </xf>
    <xf numFmtId="180" fontId="6" fillId="12" borderId="3" xfId="4" applyNumberFormat="1" applyFont="1" applyFill="1" applyBorder="1" applyAlignment="1" applyProtection="1">
      <alignment vertical="center"/>
      <protection hidden="1"/>
    </xf>
    <xf numFmtId="180" fontId="6" fillId="12" borderId="5" xfId="4" applyNumberFormat="1" applyFont="1" applyFill="1" applyBorder="1" applyAlignment="1" applyProtection="1">
      <alignment vertical="center"/>
      <protection hidden="1"/>
    </xf>
    <xf numFmtId="180" fontId="7" fillId="12" borderId="4" xfId="4" applyNumberFormat="1" applyFont="1" applyFill="1" applyBorder="1" applyAlignment="1" applyProtection="1">
      <alignment vertical="center"/>
      <protection hidden="1"/>
    </xf>
    <xf numFmtId="176" fontId="6" fillId="12" borderId="10" xfId="4" applyNumberFormat="1" applyFont="1" applyFill="1" applyBorder="1" applyAlignment="1" applyProtection="1">
      <alignment vertical="center"/>
      <protection hidden="1"/>
    </xf>
    <xf numFmtId="176" fontId="6" fillId="12" borderId="7" xfId="4" applyNumberFormat="1" applyFont="1" applyFill="1" applyBorder="1" applyAlignment="1" applyProtection="1">
      <alignment vertical="center"/>
      <protection hidden="1"/>
    </xf>
    <xf numFmtId="176" fontId="6" fillId="12" borderId="11" xfId="4" applyNumberFormat="1" applyFont="1" applyFill="1" applyBorder="1" applyAlignment="1" applyProtection="1">
      <alignment vertical="center"/>
      <protection hidden="1"/>
    </xf>
    <xf numFmtId="172" fontId="6" fillId="5" borderId="30" xfId="7" applyNumberFormat="1" applyFont="1" applyFill="1" applyBorder="1" applyAlignment="1" applyProtection="1">
      <alignment vertical="center"/>
      <protection locked="0"/>
    </xf>
    <xf numFmtId="172" fontId="6" fillId="5" borderId="32" xfId="7" applyNumberFormat="1" applyFont="1" applyFill="1" applyBorder="1" applyAlignment="1" applyProtection="1">
      <alignment vertical="center"/>
      <protection locked="0"/>
    </xf>
    <xf numFmtId="176" fontId="5" fillId="5" borderId="40" xfId="4" applyNumberFormat="1" applyFont="1" applyFill="1" applyBorder="1" applyAlignment="1" applyProtection="1">
      <alignment horizontal="right" vertical="center" indent="1"/>
      <protection locked="0"/>
    </xf>
    <xf numFmtId="172" fontId="6" fillId="5" borderId="31" xfId="7" applyNumberFormat="1" applyFont="1" applyFill="1" applyBorder="1" applyAlignment="1" applyProtection="1">
      <alignment vertical="center"/>
      <protection locked="0"/>
    </xf>
    <xf numFmtId="0" fontId="6" fillId="5" borderId="31" xfId="4" applyFont="1" applyFill="1" applyBorder="1" applyProtection="1">
      <protection locked="0"/>
    </xf>
    <xf numFmtId="0" fontId="6" fillId="5" borderId="33" xfId="4" applyFont="1" applyFill="1" applyBorder="1" applyProtection="1">
      <protection locked="0"/>
    </xf>
    <xf numFmtId="0" fontId="6" fillId="7" borderId="27" xfId="4" applyFont="1" applyFill="1" applyBorder="1" applyProtection="1">
      <protection hidden="1"/>
    </xf>
    <xf numFmtId="0" fontId="6" fillId="7" borderId="28" xfId="4" applyFont="1" applyFill="1" applyBorder="1" applyProtection="1">
      <protection hidden="1"/>
    </xf>
    <xf numFmtId="0" fontId="6" fillId="12" borderId="27" xfId="4" applyFont="1" applyFill="1" applyBorder="1" applyProtection="1">
      <protection hidden="1"/>
    </xf>
    <xf numFmtId="0" fontId="6" fillId="12" borderId="28" xfId="4" applyFont="1" applyFill="1" applyBorder="1" applyProtection="1">
      <protection hidden="1"/>
    </xf>
    <xf numFmtId="0" fontId="7" fillId="5" borderId="12" xfId="4" applyFont="1" applyFill="1" applyBorder="1" applyAlignment="1" applyProtection="1">
      <alignment horizontal="left" vertical="center" indent="3"/>
      <protection hidden="1"/>
    </xf>
    <xf numFmtId="180" fontId="7" fillId="7" borderId="36" xfId="4" applyNumberFormat="1" applyFont="1" applyFill="1" applyBorder="1" applyAlignment="1" applyProtection="1">
      <alignment vertical="center"/>
      <protection hidden="1"/>
    </xf>
    <xf numFmtId="180" fontId="7" fillId="12" borderId="36" xfId="4" applyNumberFormat="1" applyFont="1" applyFill="1" applyBorder="1" applyAlignment="1" applyProtection="1">
      <alignment vertical="center"/>
      <protection hidden="1"/>
    </xf>
    <xf numFmtId="0" fontId="6" fillId="5" borderId="46" xfId="4" applyNumberFormat="1" applyFont="1" applyFill="1" applyBorder="1" applyAlignment="1" applyProtection="1">
      <protection hidden="1"/>
    </xf>
    <xf numFmtId="0" fontId="6" fillId="5" borderId="20" xfId="4" applyNumberFormat="1" applyFont="1" applyFill="1" applyBorder="1" applyAlignment="1" applyProtection="1">
      <protection hidden="1"/>
    </xf>
    <xf numFmtId="180" fontId="7" fillId="5" borderId="57" xfId="4" applyNumberFormat="1" applyFont="1" applyFill="1" applyBorder="1" applyAlignment="1" applyProtection="1">
      <alignment vertical="center"/>
      <protection hidden="1"/>
    </xf>
    <xf numFmtId="179" fontId="7" fillId="5" borderId="20" xfId="4" applyNumberFormat="1" applyFont="1" applyFill="1" applyBorder="1" applyAlignment="1" applyProtection="1">
      <alignment vertical="center"/>
      <protection hidden="1"/>
    </xf>
    <xf numFmtId="180" fontId="7" fillId="5" borderId="56" xfId="4" applyNumberFormat="1" applyFont="1" applyFill="1" applyBorder="1" applyAlignment="1" applyProtection="1">
      <alignment vertical="center"/>
      <protection hidden="1"/>
    </xf>
    <xf numFmtId="180" fontId="7" fillId="5" borderId="20" xfId="4" applyNumberFormat="1" applyFont="1" applyFill="1" applyBorder="1" applyAlignment="1" applyProtection="1">
      <alignment vertical="center"/>
      <protection hidden="1"/>
    </xf>
    <xf numFmtId="180" fontId="7" fillId="5" borderId="19" xfId="4" applyNumberFormat="1" applyFont="1" applyFill="1" applyBorder="1" applyAlignment="1" applyProtection="1">
      <alignment vertical="center"/>
      <protection hidden="1"/>
    </xf>
    <xf numFmtId="180" fontId="7" fillId="7" borderId="19" xfId="4" applyNumberFormat="1" applyFont="1" applyFill="1" applyBorder="1" applyAlignment="1" applyProtection="1">
      <alignment vertical="center"/>
      <protection hidden="1"/>
    </xf>
    <xf numFmtId="180" fontId="7" fillId="7" borderId="20" xfId="4" applyNumberFormat="1" applyFont="1" applyFill="1" applyBorder="1" applyAlignment="1" applyProtection="1">
      <alignment vertical="center"/>
      <protection hidden="1"/>
    </xf>
    <xf numFmtId="180" fontId="7" fillId="12" borderId="19" xfId="4" applyNumberFormat="1" applyFont="1" applyFill="1" applyBorder="1" applyAlignment="1" applyProtection="1">
      <alignment vertical="center"/>
      <protection hidden="1"/>
    </xf>
    <xf numFmtId="180" fontId="7" fillId="12" borderId="20" xfId="4" applyNumberFormat="1" applyFont="1" applyFill="1" applyBorder="1" applyAlignment="1" applyProtection="1">
      <alignment vertical="center"/>
      <protection hidden="1"/>
    </xf>
    <xf numFmtId="0" fontId="6" fillId="7" borderId="0" xfId="4" applyFont="1" applyFill="1" applyBorder="1" applyProtection="1">
      <protection hidden="1"/>
    </xf>
    <xf numFmtId="0" fontId="6" fillId="5" borderId="0" xfId="4" quotePrefix="1" applyFont="1" applyFill="1" applyBorder="1" applyProtection="1">
      <protection hidden="1"/>
    </xf>
    <xf numFmtId="180" fontId="6" fillId="7" borderId="0" xfId="4" applyNumberFormat="1" applyFont="1" applyFill="1" applyBorder="1" applyAlignment="1" applyProtection="1">
      <protection hidden="1"/>
    </xf>
    <xf numFmtId="180" fontId="6" fillId="12" borderId="0" xfId="4" applyNumberFormat="1" applyFont="1" applyFill="1" applyBorder="1" applyAlignment="1" applyProtection="1">
      <protection hidden="1"/>
    </xf>
    <xf numFmtId="180" fontId="6" fillId="7" borderId="0" xfId="4" applyNumberFormat="1" applyFont="1" applyFill="1" applyBorder="1" applyProtection="1">
      <protection hidden="1"/>
    </xf>
    <xf numFmtId="172" fontId="6" fillId="9" borderId="9" xfId="4" applyNumberFormat="1" applyFont="1" applyFill="1" applyBorder="1" applyAlignment="1" applyProtection="1">
      <alignment vertical="center"/>
      <protection hidden="1"/>
    </xf>
    <xf numFmtId="0" fontId="24" fillId="5" borderId="12" xfId="4" applyFont="1" applyFill="1" applyBorder="1" applyAlignment="1" applyProtection="1">
      <alignment horizontal="left" vertical="center" indent="4"/>
      <protection hidden="1"/>
    </xf>
    <xf numFmtId="178" fontId="6" fillId="9" borderId="5" xfId="7" applyNumberFormat="1" applyFont="1" applyFill="1" applyBorder="1" applyAlignment="1" applyProtection="1">
      <alignment vertical="center"/>
      <protection hidden="1"/>
    </xf>
    <xf numFmtId="180" fontId="17" fillId="9" borderId="50" xfId="4" applyNumberFormat="1" applyFont="1" applyFill="1" applyBorder="1" applyAlignment="1" applyProtection="1">
      <alignment vertical="center"/>
      <protection hidden="1"/>
    </xf>
    <xf numFmtId="180" fontId="7" fillId="9" borderId="5" xfId="4" applyNumberFormat="1" applyFont="1" applyFill="1" applyBorder="1" applyAlignment="1" applyProtection="1">
      <alignment vertical="center"/>
      <protection hidden="1"/>
    </xf>
    <xf numFmtId="180" fontId="7" fillId="9" borderId="50" xfId="4" applyNumberFormat="1" applyFont="1" applyFill="1" applyBorder="1" applyAlignment="1" applyProtection="1">
      <alignment vertical="center"/>
      <protection hidden="1"/>
    </xf>
    <xf numFmtId="180" fontId="17" fillId="9" borderId="44" xfId="4" applyNumberFormat="1" applyFont="1" applyFill="1" applyBorder="1" applyAlignment="1" applyProtection="1">
      <alignment vertical="center"/>
      <protection hidden="1"/>
    </xf>
    <xf numFmtId="180" fontId="7" fillId="9" borderId="1" xfId="4" applyNumberFormat="1" applyFont="1" applyFill="1" applyBorder="1" applyAlignment="1" applyProtection="1">
      <alignment vertical="center"/>
      <protection hidden="1"/>
    </xf>
    <xf numFmtId="0" fontId="7" fillId="5" borderId="8" xfId="4" applyFont="1" applyFill="1" applyBorder="1" applyAlignment="1" applyProtection="1">
      <alignment horizontal="center" vertical="top"/>
      <protection hidden="1"/>
    </xf>
    <xf numFmtId="178" fontId="6" fillId="9" borderId="31" xfId="7" applyNumberFormat="1" applyFont="1" applyFill="1" applyBorder="1" applyAlignment="1" applyProtection="1">
      <alignment vertical="center"/>
      <protection hidden="1"/>
    </xf>
    <xf numFmtId="180" fontId="17" fillId="9" borderId="35" xfId="4" applyNumberFormat="1" applyFont="1" applyFill="1" applyBorder="1" applyAlignment="1" applyProtection="1">
      <alignment vertical="center"/>
      <protection hidden="1"/>
    </xf>
    <xf numFmtId="0" fontId="7" fillId="3" borderId="7" xfId="0" applyFont="1" applyFill="1" applyBorder="1" applyAlignment="1" applyProtection="1">
      <alignment horizontal="center" vertical="top"/>
      <protection hidden="1"/>
    </xf>
    <xf numFmtId="0" fontId="7" fillId="3" borderId="0" xfId="0" applyFont="1" applyFill="1" applyBorder="1" applyAlignment="1" applyProtection="1">
      <alignment horizontal="center" vertical="top"/>
      <protection hidden="1"/>
    </xf>
    <xf numFmtId="0" fontId="7" fillId="3" borderId="11" xfId="0" applyFont="1" applyFill="1" applyBorder="1" applyAlignment="1" applyProtection="1">
      <alignment horizontal="center" vertical="top" wrapText="1"/>
      <protection hidden="1"/>
    </xf>
    <xf numFmtId="0" fontId="7" fillId="2" borderId="0" xfId="0" applyFont="1" applyFill="1" applyBorder="1" applyAlignment="1" applyProtection="1">
      <alignment horizontal="center" vertical="center" wrapText="1"/>
      <protection hidden="1"/>
    </xf>
    <xf numFmtId="180" fontId="17" fillId="2" borderId="35" xfId="0" applyNumberFormat="1" applyFont="1" applyFill="1" applyBorder="1" applyAlignment="1" applyProtection="1">
      <alignment vertical="center"/>
      <protection hidden="1"/>
    </xf>
    <xf numFmtId="180" fontId="17" fillId="2" borderId="45" xfId="0" applyNumberFormat="1" applyFont="1" applyFill="1" applyBorder="1" applyAlignment="1" applyProtection="1">
      <alignment vertical="center"/>
      <protection hidden="1"/>
    </xf>
    <xf numFmtId="180" fontId="17" fillId="2" borderId="53" xfId="0" applyNumberFormat="1" applyFont="1" applyFill="1" applyBorder="1" applyAlignment="1" applyProtection="1">
      <alignment vertical="center"/>
      <protection hidden="1"/>
    </xf>
    <xf numFmtId="169" fontId="6" fillId="3" borderId="11" xfId="0" applyNumberFormat="1"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top" wrapText="1"/>
      <protection hidden="1"/>
    </xf>
    <xf numFmtId="0" fontId="7" fillId="9" borderId="0" xfId="0" applyFont="1" applyFill="1" applyBorder="1" applyAlignment="1" applyProtection="1">
      <alignment vertical="top" wrapText="1"/>
      <protection hidden="1"/>
    </xf>
    <xf numFmtId="0" fontId="6" fillId="9" borderId="0" xfId="0" applyFont="1" applyFill="1" applyBorder="1" applyProtection="1">
      <protection hidden="1"/>
    </xf>
    <xf numFmtId="168" fontId="5" fillId="9" borderId="23" xfId="0" applyNumberFormat="1" applyFont="1" applyFill="1" applyBorder="1" applyAlignment="1" applyProtection="1">
      <alignment horizontal="left" vertical="center"/>
      <protection hidden="1"/>
    </xf>
    <xf numFmtId="170" fontId="6" fillId="9" borderId="22" xfId="0" applyNumberFormat="1" applyFont="1" applyFill="1" applyBorder="1" applyAlignment="1" applyProtection="1">
      <alignment horizontal="left" vertical="center"/>
      <protection hidden="1"/>
    </xf>
    <xf numFmtId="180" fontId="7" fillId="2" borderId="13" xfId="0" applyNumberFormat="1" applyFont="1" applyFill="1" applyBorder="1" applyAlignment="1" applyProtection="1">
      <alignment vertical="center"/>
      <protection hidden="1"/>
    </xf>
    <xf numFmtId="0" fontId="6" fillId="9" borderId="0" xfId="0" applyFont="1" applyFill="1" applyProtection="1">
      <protection hidden="1"/>
    </xf>
    <xf numFmtId="0" fontId="6" fillId="5" borderId="0" xfId="0" applyFont="1" applyFill="1" applyBorder="1" applyProtection="1">
      <protection hidden="1"/>
    </xf>
    <xf numFmtId="0" fontId="15" fillId="9" borderId="9" xfId="0" quotePrefix="1" applyFont="1" applyFill="1" applyBorder="1" applyAlignment="1" applyProtection="1">
      <alignment horizontal="center" vertical="center"/>
      <protection hidden="1"/>
    </xf>
    <xf numFmtId="180" fontId="7" fillId="2" borderId="16" xfId="0" applyNumberFormat="1" applyFont="1" applyFill="1" applyBorder="1" applyAlignment="1" applyProtection="1">
      <alignment vertical="center"/>
      <protection hidden="1"/>
    </xf>
    <xf numFmtId="180" fontId="7" fillId="9" borderId="20" xfId="0" applyNumberFormat="1" applyFont="1" applyFill="1" applyBorder="1" applyAlignment="1" applyProtection="1">
      <alignment vertical="center"/>
      <protection hidden="1"/>
    </xf>
    <xf numFmtId="180" fontId="7" fillId="9" borderId="48" xfId="0" applyNumberFormat="1" applyFont="1" applyFill="1" applyBorder="1" applyAlignment="1" applyProtection="1">
      <alignment vertical="center"/>
      <protection hidden="1"/>
    </xf>
    <xf numFmtId="178" fontId="6" fillId="0" borderId="65" xfId="0" applyNumberFormat="1" applyFont="1" applyFill="1" applyBorder="1" applyAlignment="1" applyProtection="1">
      <alignment vertical="center"/>
      <protection locked="0"/>
    </xf>
    <xf numFmtId="0" fontId="7" fillId="9" borderId="6" xfId="0" applyFont="1" applyFill="1" applyBorder="1" applyAlignment="1" applyProtection="1">
      <alignment vertical="top" wrapText="1"/>
      <protection hidden="1"/>
    </xf>
    <xf numFmtId="0" fontId="6" fillId="9" borderId="6" xfId="0" applyFont="1" applyFill="1" applyBorder="1" applyProtection="1">
      <protection hidden="1"/>
    </xf>
    <xf numFmtId="0" fontId="7" fillId="3" borderId="0" xfId="0" applyFont="1" applyFill="1" applyBorder="1" applyAlignment="1" applyProtection="1">
      <alignment horizontal="right" vertical="center" indent="1"/>
      <protection hidden="1"/>
    </xf>
    <xf numFmtId="169" fontId="6" fillId="3" borderId="0" xfId="0" applyNumberFormat="1" applyFont="1" applyFill="1" applyBorder="1" applyProtection="1">
      <protection hidden="1"/>
    </xf>
    <xf numFmtId="183" fontId="6" fillId="3" borderId="0" xfId="0" applyNumberFormat="1" applyFont="1" applyFill="1" applyBorder="1" applyAlignment="1" applyProtection="1">
      <alignment horizontal="center" vertical="center"/>
      <protection hidden="1"/>
    </xf>
    <xf numFmtId="169" fontId="7" fillId="3" borderId="62" xfId="0" applyNumberFormat="1" applyFont="1" applyFill="1" applyBorder="1" applyAlignment="1" applyProtection="1">
      <alignment horizontal="center" vertical="center"/>
      <protection hidden="1"/>
    </xf>
    <xf numFmtId="0" fontId="7" fillId="2" borderId="76" xfId="0" applyFont="1" applyFill="1" applyBorder="1" applyAlignment="1" applyProtection="1">
      <alignment horizontal="center" vertical="center" wrapText="1"/>
      <protection hidden="1"/>
    </xf>
    <xf numFmtId="0" fontId="7" fillId="2" borderId="80" xfId="0" applyFont="1" applyFill="1" applyBorder="1" applyAlignment="1" applyProtection="1">
      <alignment horizontal="center" vertical="center" wrapText="1"/>
      <protection hidden="1"/>
    </xf>
    <xf numFmtId="0" fontId="7" fillId="2" borderId="71" xfId="0" applyFont="1" applyFill="1" applyBorder="1" applyAlignment="1" applyProtection="1">
      <alignment horizontal="center" vertical="center" wrapText="1"/>
      <protection hidden="1"/>
    </xf>
    <xf numFmtId="0" fontId="7" fillId="2" borderId="6" xfId="0" applyFont="1" applyFill="1" applyBorder="1" applyAlignment="1" applyProtection="1">
      <alignment horizontal="center" vertical="center" wrapText="1"/>
      <protection hidden="1"/>
    </xf>
    <xf numFmtId="0" fontId="7" fillId="2" borderId="11" xfId="0" applyFont="1" applyFill="1" applyBorder="1" applyAlignment="1" applyProtection="1">
      <alignment horizontal="center" vertical="center" wrapText="1"/>
      <protection hidden="1"/>
    </xf>
    <xf numFmtId="0" fontId="6" fillId="2" borderId="27" xfId="0" applyFont="1" applyFill="1" applyBorder="1" applyAlignment="1" applyProtection="1">
      <protection hidden="1"/>
    </xf>
    <xf numFmtId="0" fontId="6" fillId="2" borderId="11" xfId="0" applyFont="1" applyFill="1" applyBorder="1" applyAlignment="1" applyProtection="1">
      <protection hidden="1"/>
    </xf>
    <xf numFmtId="0" fontId="6" fillId="2" borderId="35" xfId="0" applyFont="1" applyFill="1" applyBorder="1" applyAlignment="1" applyProtection="1">
      <alignment horizontal="center" vertical="center"/>
      <protection hidden="1"/>
    </xf>
    <xf numFmtId="0" fontId="6" fillId="2" borderId="11" xfId="0" applyFont="1" applyFill="1" applyBorder="1" applyProtection="1">
      <protection hidden="1"/>
    </xf>
    <xf numFmtId="0" fontId="6" fillId="2" borderId="6" xfId="0" applyFont="1" applyFill="1" applyBorder="1" applyAlignment="1" applyProtection="1">
      <alignment horizontal="center" vertical="center"/>
      <protection hidden="1"/>
    </xf>
    <xf numFmtId="0" fontId="6" fillId="2" borderId="11" xfId="0" applyFont="1" applyFill="1" applyBorder="1" applyAlignment="1" applyProtection="1">
      <alignment horizontal="center" vertical="center"/>
      <protection hidden="1"/>
    </xf>
    <xf numFmtId="169" fontId="6" fillId="2" borderId="6" xfId="0" applyNumberFormat="1" applyFont="1" applyFill="1" applyBorder="1" applyAlignment="1" applyProtection="1">
      <alignment horizontal="center"/>
      <protection hidden="1"/>
    </xf>
    <xf numFmtId="169" fontId="6" fillId="2" borderId="6" xfId="0" applyNumberFormat="1" applyFont="1" applyFill="1" applyBorder="1" applyAlignment="1" applyProtection="1">
      <alignment vertical="center"/>
      <protection hidden="1"/>
    </xf>
    <xf numFmtId="169" fontId="6" fillId="2" borderId="27" xfId="0" applyNumberFormat="1" applyFont="1" applyFill="1" applyBorder="1" applyAlignment="1" applyProtection="1">
      <alignment vertical="center"/>
      <protection hidden="1"/>
    </xf>
    <xf numFmtId="0" fontId="6" fillId="2" borderId="37" xfId="0" applyFont="1" applyFill="1" applyBorder="1" applyProtection="1">
      <protection hidden="1"/>
    </xf>
    <xf numFmtId="0" fontId="7" fillId="2" borderId="8" xfId="0" applyFont="1" applyFill="1" applyBorder="1" applyAlignment="1" applyProtection="1">
      <alignment horizontal="center" vertical="center" wrapText="1"/>
      <protection hidden="1"/>
    </xf>
    <xf numFmtId="2" fontId="6" fillId="2" borderId="6" xfId="0" applyNumberFormat="1" applyFont="1" applyFill="1" applyBorder="1" applyAlignment="1" applyProtection="1">
      <alignment horizontal="center" vertical="center" wrapText="1"/>
      <protection hidden="1"/>
    </xf>
    <xf numFmtId="2" fontId="6" fillId="2" borderId="8" xfId="0" applyNumberFormat="1" applyFont="1" applyFill="1" applyBorder="1" applyAlignment="1" applyProtection="1">
      <alignment horizontal="center" vertical="center"/>
      <protection hidden="1"/>
    </xf>
    <xf numFmtId="0" fontId="6" fillId="2" borderId="29" xfId="0" applyFont="1" applyFill="1" applyBorder="1" applyAlignment="1" applyProtection="1">
      <protection hidden="1"/>
    </xf>
    <xf numFmtId="0" fontId="6" fillId="2" borderId="53" xfId="0" applyFont="1" applyFill="1" applyBorder="1" applyAlignment="1" applyProtection="1">
      <alignment horizontal="center" vertical="center"/>
      <protection hidden="1"/>
    </xf>
    <xf numFmtId="169" fontId="7" fillId="3" borderId="22" xfId="0" applyNumberFormat="1" applyFont="1" applyFill="1" applyBorder="1" applyAlignment="1" applyProtection="1">
      <alignment horizontal="center" vertical="top"/>
      <protection hidden="1"/>
    </xf>
    <xf numFmtId="0" fontId="7" fillId="2" borderId="25" xfId="0" applyFont="1" applyFill="1" applyBorder="1" applyAlignment="1" applyProtection="1">
      <alignment horizontal="center" vertical="center" wrapText="1"/>
      <protection hidden="1"/>
    </xf>
    <xf numFmtId="0" fontId="7" fillId="2" borderId="29" xfId="0" applyFont="1" applyFill="1" applyBorder="1" applyAlignment="1" applyProtection="1">
      <alignment horizontal="center" vertical="center" wrapText="1"/>
      <protection hidden="1"/>
    </xf>
    <xf numFmtId="183" fontId="6" fillId="3" borderId="17" xfId="0" applyNumberFormat="1" applyFont="1" applyFill="1" applyBorder="1" applyAlignment="1" applyProtection="1">
      <alignment horizontal="center" vertical="center"/>
      <protection hidden="1"/>
    </xf>
    <xf numFmtId="180" fontId="7" fillId="7" borderId="16" xfId="4" applyNumberFormat="1" applyFont="1" applyFill="1" applyBorder="1" applyAlignment="1" applyProtection="1">
      <alignment vertical="center"/>
      <protection hidden="1"/>
    </xf>
    <xf numFmtId="180" fontId="6" fillId="7" borderId="36" xfId="4" applyNumberFormat="1" applyFont="1" applyFill="1" applyBorder="1" applyAlignment="1" applyProtection="1">
      <alignment vertical="center"/>
      <protection hidden="1"/>
    </xf>
    <xf numFmtId="180" fontId="6" fillId="7" borderId="28" xfId="4" applyNumberFormat="1" applyFont="1" applyFill="1" applyBorder="1" applyAlignment="1" applyProtection="1">
      <alignment vertical="center"/>
      <protection hidden="1"/>
    </xf>
    <xf numFmtId="180" fontId="7" fillId="7" borderId="29" xfId="4" applyNumberFormat="1" applyFont="1" applyFill="1" applyBorder="1" applyAlignment="1" applyProtection="1">
      <alignment vertical="center"/>
      <protection hidden="1"/>
    </xf>
    <xf numFmtId="176" fontId="6" fillId="7" borderId="36" xfId="4" applyNumberFormat="1" applyFont="1" applyFill="1" applyBorder="1" applyAlignment="1" applyProtection="1">
      <alignment vertical="center"/>
      <protection hidden="1"/>
    </xf>
    <xf numFmtId="176" fontId="6" fillId="7" borderId="28" xfId="4" applyNumberFormat="1" applyFont="1" applyFill="1" applyBorder="1" applyAlignment="1" applyProtection="1">
      <alignment vertical="center"/>
      <protection hidden="1"/>
    </xf>
    <xf numFmtId="176" fontId="6" fillId="7" borderId="37" xfId="4" applyNumberFormat="1" applyFont="1" applyFill="1" applyBorder="1" applyAlignment="1" applyProtection="1">
      <alignment vertical="center"/>
      <protection hidden="1"/>
    </xf>
    <xf numFmtId="180" fontId="7" fillId="12" borderId="16" xfId="4" applyNumberFormat="1" applyFont="1" applyFill="1" applyBorder="1" applyAlignment="1" applyProtection="1">
      <alignment vertical="center"/>
      <protection hidden="1"/>
    </xf>
    <xf numFmtId="180" fontId="6" fillId="12" borderId="30" xfId="4" applyNumberFormat="1" applyFont="1" applyFill="1" applyBorder="1" applyAlignment="1" applyProtection="1">
      <alignment vertical="center"/>
      <protection hidden="1"/>
    </xf>
    <xf numFmtId="176" fontId="6" fillId="12" borderId="33" xfId="4" applyNumberFormat="1" applyFont="1" applyFill="1" applyBorder="1" applyAlignment="1" applyProtection="1">
      <alignment vertical="center"/>
      <protection hidden="1"/>
    </xf>
    <xf numFmtId="176" fontId="6" fillId="12" borderId="50" xfId="4" applyNumberFormat="1" applyFont="1" applyFill="1" applyBorder="1" applyAlignment="1" applyProtection="1">
      <alignment vertical="center"/>
      <protection hidden="1"/>
    </xf>
    <xf numFmtId="176" fontId="6" fillId="12" borderId="32" xfId="4" applyNumberFormat="1" applyFont="1" applyFill="1" applyBorder="1" applyAlignment="1" applyProtection="1">
      <alignment vertical="center"/>
      <protection hidden="1"/>
    </xf>
    <xf numFmtId="176" fontId="7" fillId="12" borderId="64" xfId="4" applyNumberFormat="1" applyFont="1" applyFill="1" applyBorder="1" applyAlignment="1" applyProtection="1">
      <alignment vertical="center"/>
      <protection hidden="1"/>
    </xf>
    <xf numFmtId="0" fontId="25" fillId="5" borderId="0" xfId="0" applyFont="1" applyFill="1" applyAlignment="1" applyProtection="1">
      <alignment vertical="center"/>
      <protection hidden="1"/>
    </xf>
    <xf numFmtId="175" fontId="9" fillId="0" borderId="3" xfId="4" applyNumberFormat="1" applyFont="1" applyFill="1" applyBorder="1" applyAlignment="1" applyProtection="1">
      <protection hidden="1"/>
    </xf>
    <xf numFmtId="175" fontId="10" fillId="0" borderId="10" xfId="4" applyNumberFormat="1" applyFont="1" applyFill="1" applyBorder="1" applyAlignment="1" applyProtection="1">
      <alignment vertical="center"/>
      <protection hidden="1"/>
    </xf>
    <xf numFmtId="175" fontId="10" fillId="0" borderId="34" xfId="4" applyNumberFormat="1" applyFont="1" applyFill="1" applyBorder="1" applyAlignment="1" applyProtection="1">
      <alignment vertical="center"/>
      <protection hidden="1"/>
    </xf>
    <xf numFmtId="0" fontId="7" fillId="2" borderId="5" xfId="0" applyFont="1" applyFill="1" applyBorder="1" applyAlignment="1" applyProtection="1">
      <alignment horizontal="center" vertical="top" wrapText="1"/>
      <protection hidden="1"/>
    </xf>
    <xf numFmtId="0" fontId="7" fillId="2" borderId="13" xfId="0" applyFont="1" applyFill="1" applyBorder="1" applyAlignment="1" applyProtection="1">
      <alignment horizontal="center" vertical="top" wrapText="1"/>
      <protection hidden="1"/>
    </xf>
    <xf numFmtId="0" fontId="7" fillId="0" borderId="7" xfId="5" applyNumberFormat="1" applyFont="1" applyFill="1" applyBorder="1" applyAlignment="1" applyProtection="1">
      <alignment horizontal="center" vertical="top" wrapText="1"/>
      <protection hidden="1"/>
    </xf>
    <xf numFmtId="184" fontId="9" fillId="0" borderId="0" xfId="0" applyNumberFormat="1" applyFont="1" applyFill="1" applyProtection="1">
      <protection hidden="1"/>
    </xf>
    <xf numFmtId="0" fontId="9" fillId="0" borderId="0" xfId="0" applyNumberFormat="1" applyFont="1" applyFill="1" applyProtection="1">
      <protection hidden="1"/>
    </xf>
    <xf numFmtId="0" fontId="7" fillId="0" borderId="9" xfId="5" applyNumberFormat="1" applyFont="1" applyFill="1" applyBorder="1" applyAlignment="1" applyProtection="1">
      <alignment horizontal="center" vertical="top" wrapText="1"/>
      <protection hidden="1"/>
    </xf>
    <xf numFmtId="0" fontId="6" fillId="5" borderId="0" xfId="0" applyFont="1" applyFill="1" applyBorder="1" applyAlignment="1" applyProtection="1">
      <alignment horizontal="center" vertical="center" wrapText="1"/>
      <protection hidden="1"/>
    </xf>
    <xf numFmtId="0" fontId="18" fillId="5" borderId="0" xfId="0" applyFont="1" applyFill="1" applyBorder="1" applyAlignment="1" applyProtection="1">
      <protection hidden="1"/>
    </xf>
    <xf numFmtId="172" fontId="7" fillId="5" borderId="0" xfId="0" applyNumberFormat="1" applyFont="1" applyFill="1" applyBorder="1" applyAlignment="1" applyProtection="1">
      <protection hidden="1"/>
    </xf>
    <xf numFmtId="0" fontId="6" fillId="5" borderId="0" xfId="0" applyFont="1" applyFill="1" applyBorder="1" applyAlignment="1" applyProtection="1">
      <alignment vertical="center"/>
      <protection hidden="1"/>
    </xf>
    <xf numFmtId="0" fontId="6" fillId="5" borderId="64" xfId="0" applyFont="1" applyFill="1" applyBorder="1" applyAlignment="1" applyProtection="1">
      <alignment vertical="center"/>
      <protection hidden="1"/>
    </xf>
    <xf numFmtId="172" fontId="7" fillId="5" borderId="22" xfId="0" applyNumberFormat="1" applyFont="1" applyFill="1" applyBorder="1" applyAlignment="1" applyProtection="1">
      <alignment horizontal="center" vertical="top" wrapText="1"/>
      <protection hidden="1"/>
    </xf>
    <xf numFmtId="172" fontId="7" fillId="5" borderId="25" xfId="0" applyNumberFormat="1" applyFont="1" applyFill="1" applyBorder="1" applyAlignment="1" applyProtection="1">
      <alignment horizontal="center" vertical="top" wrapText="1"/>
      <protection hidden="1"/>
    </xf>
    <xf numFmtId="0" fontId="7" fillId="5" borderId="7" xfId="0" applyFont="1" applyFill="1" applyBorder="1" applyAlignment="1" applyProtection="1">
      <alignment horizontal="center" vertical="center"/>
      <protection hidden="1"/>
    </xf>
    <xf numFmtId="172" fontId="7" fillId="5" borderId="7" xfId="0" applyNumberFormat="1" applyFont="1" applyFill="1" applyBorder="1" applyAlignment="1" applyProtection="1">
      <alignment horizontal="center" vertical="center"/>
      <protection hidden="1"/>
    </xf>
    <xf numFmtId="172" fontId="7" fillId="5" borderId="2" xfId="0" applyNumberFormat="1" applyFont="1" applyFill="1" applyBorder="1" applyAlignment="1" applyProtection="1">
      <alignment horizontal="center" vertical="center"/>
      <protection hidden="1"/>
    </xf>
    <xf numFmtId="172" fontId="7" fillId="5" borderId="8" xfId="0" applyNumberFormat="1" applyFont="1" applyFill="1" applyBorder="1" applyAlignment="1" applyProtection="1">
      <alignment horizontal="center" vertical="center"/>
      <protection hidden="1"/>
    </xf>
    <xf numFmtId="0" fontId="6" fillId="5" borderId="36" xfId="0" applyFont="1" applyFill="1" applyBorder="1" applyAlignment="1" applyProtection="1">
      <alignment horizontal="left" vertical="center" wrapText="1" indent="2"/>
      <protection hidden="1"/>
    </xf>
    <xf numFmtId="0" fontId="7" fillId="5" borderId="28" xfId="0" quotePrefix="1" applyNumberFormat="1" applyFont="1" applyFill="1" applyBorder="1" applyAlignment="1" applyProtection="1">
      <alignment horizontal="center" vertical="center"/>
      <protection hidden="1"/>
    </xf>
    <xf numFmtId="0" fontId="7" fillId="5" borderId="29" xfId="0" quotePrefix="1" applyNumberFormat="1" applyFont="1" applyFill="1" applyBorder="1" applyAlignment="1" applyProtection="1">
      <alignment horizontal="center" vertical="center"/>
      <protection hidden="1"/>
    </xf>
    <xf numFmtId="165" fontId="19" fillId="5" borderId="10" xfId="0" applyNumberFormat="1" applyFont="1" applyFill="1" applyBorder="1" applyAlignment="1" applyProtection="1">
      <alignment horizontal="left" vertical="center" indent="1"/>
      <protection hidden="1"/>
    </xf>
    <xf numFmtId="172" fontId="6" fillId="5" borderId="67" xfId="0" quotePrefix="1" applyNumberFormat="1" applyFont="1" applyFill="1" applyBorder="1" applyAlignment="1" applyProtection="1">
      <alignment horizontal="center" vertical="center"/>
      <protection hidden="1"/>
    </xf>
    <xf numFmtId="172" fontId="6" fillId="5" borderId="7" xfId="0" quotePrefix="1" applyNumberFormat="1" applyFont="1" applyFill="1" applyBorder="1" applyAlignment="1" applyProtection="1">
      <alignment horizontal="center" vertical="center"/>
      <protection hidden="1"/>
    </xf>
    <xf numFmtId="0" fontId="18" fillId="5" borderId="11" xfId="0" applyFont="1" applyFill="1" applyBorder="1" applyAlignment="1" applyProtection="1">
      <protection hidden="1"/>
    </xf>
    <xf numFmtId="0" fontId="7" fillId="5" borderId="10" xfId="0" applyFont="1" applyFill="1" applyBorder="1" applyAlignment="1" applyProtection="1">
      <alignment horizontal="left" vertical="center" indent="2"/>
      <protection hidden="1"/>
    </xf>
    <xf numFmtId="176" fontId="17" fillId="5" borderId="31" xfId="0" applyNumberFormat="1" applyFont="1" applyFill="1" applyBorder="1" applyAlignment="1" applyProtection="1">
      <alignment vertical="center"/>
      <protection hidden="1"/>
    </xf>
    <xf numFmtId="0" fontId="7" fillId="5" borderId="35" xfId="0" applyFont="1" applyFill="1" applyBorder="1" applyAlignment="1" applyProtection="1">
      <alignment horizontal="center" vertical="center"/>
      <protection hidden="1"/>
    </xf>
    <xf numFmtId="0" fontId="7" fillId="5" borderId="36" xfId="0" applyFont="1" applyFill="1" applyBorder="1" applyAlignment="1" applyProtection="1">
      <alignment horizontal="left" vertical="center" indent="2"/>
      <protection hidden="1"/>
    </xf>
    <xf numFmtId="0" fontId="19" fillId="5" borderId="10" xfId="0" applyFont="1" applyFill="1" applyBorder="1" applyAlignment="1" applyProtection="1">
      <alignment horizontal="left" vertical="center" indent="1"/>
      <protection hidden="1"/>
    </xf>
    <xf numFmtId="172" fontId="6" fillId="5" borderId="67" xfId="0" applyNumberFormat="1" applyFont="1" applyFill="1" applyBorder="1" applyAlignment="1" applyProtection="1">
      <alignment vertical="center"/>
      <protection hidden="1"/>
    </xf>
    <xf numFmtId="172" fontId="6" fillId="5" borderId="66" xfId="0" applyNumberFormat="1" applyFont="1" applyFill="1" applyBorder="1" applyAlignment="1" applyProtection="1">
      <alignment vertical="center"/>
      <protection hidden="1"/>
    </xf>
    <xf numFmtId="172" fontId="6" fillId="5" borderId="7" xfId="0" applyNumberFormat="1" applyFont="1" applyFill="1" applyBorder="1" applyAlignment="1" applyProtection="1">
      <alignment vertical="center"/>
      <protection hidden="1"/>
    </xf>
    <xf numFmtId="172" fontId="5" fillId="5" borderId="67" xfId="0" applyNumberFormat="1" applyFont="1" applyFill="1" applyBorder="1" applyAlignment="1" applyProtection="1">
      <alignment vertical="center"/>
      <protection hidden="1"/>
    </xf>
    <xf numFmtId="176" fontId="5" fillId="5" borderId="7" xfId="0" applyNumberFormat="1" applyFont="1" applyFill="1" applyBorder="1" applyAlignment="1" applyProtection="1">
      <alignment vertical="center"/>
      <protection hidden="1"/>
    </xf>
    <xf numFmtId="176" fontId="17" fillId="5" borderId="49" xfId="0" applyNumberFormat="1" applyFont="1" applyFill="1" applyBorder="1" applyAlignment="1" applyProtection="1">
      <alignment vertical="center"/>
      <protection hidden="1"/>
    </xf>
    <xf numFmtId="0" fontId="7" fillId="5" borderId="51" xfId="0" applyFont="1" applyFill="1" applyBorder="1" applyAlignment="1" applyProtection="1">
      <alignment horizontal="center" vertical="center"/>
      <protection hidden="1"/>
    </xf>
    <xf numFmtId="172" fontId="6" fillId="5" borderId="0" xfId="0" applyNumberFormat="1" applyFont="1" applyFill="1" applyBorder="1" applyAlignment="1" applyProtection="1">
      <alignment horizontal="center"/>
      <protection hidden="1"/>
    </xf>
    <xf numFmtId="0" fontId="6" fillId="5" borderId="10" xfId="0" applyFont="1" applyFill="1" applyBorder="1" applyProtection="1">
      <protection hidden="1"/>
    </xf>
    <xf numFmtId="0" fontId="6" fillId="5" borderId="10" xfId="0" applyFont="1" applyFill="1" applyBorder="1" applyAlignment="1" applyProtection="1">
      <alignment horizontal="left" vertical="center" wrapText="1" indent="2"/>
      <protection hidden="1"/>
    </xf>
    <xf numFmtId="0" fontId="7" fillId="5" borderId="63" xfId="0" applyFont="1" applyFill="1" applyBorder="1" applyAlignment="1" applyProtection="1">
      <alignment horizontal="left" vertical="center" wrapText="1" indent="1"/>
      <protection hidden="1"/>
    </xf>
    <xf numFmtId="176" fontId="7" fillId="5" borderId="49" xfId="0" applyNumberFormat="1" applyFont="1" applyFill="1" applyBorder="1" applyAlignment="1" applyProtection="1">
      <alignment vertical="center"/>
      <protection hidden="1"/>
    </xf>
    <xf numFmtId="0" fontId="6" fillId="5" borderId="64" xfId="0" applyFont="1" applyFill="1" applyBorder="1" applyAlignment="1" applyProtection="1">
      <protection hidden="1"/>
    </xf>
    <xf numFmtId="0" fontId="19" fillId="5" borderId="24" xfId="0" applyFont="1" applyFill="1" applyBorder="1" applyAlignment="1" applyProtection="1">
      <alignment horizontal="left" vertical="center" wrapText="1" indent="2"/>
      <protection hidden="1"/>
    </xf>
    <xf numFmtId="172" fontId="7" fillId="5" borderId="41" xfId="0" applyNumberFormat="1" applyFont="1" applyFill="1" applyBorder="1" applyAlignment="1" applyProtection="1">
      <alignment horizontal="center" vertical="top" wrapText="1"/>
      <protection hidden="1"/>
    </xf>
    <xf numFmtId="0" fontId="6" fillId="5" borderId="6" xfId="0" applyFont="1" applyFill="1" applyBorder="1" applyAlignment="1" applyProtection="1">
      <alignment horizontal="left"/>
      <protection hidden="1"/>
    </xf>
    <xf numFmtId="0" fontId="6" fillId="5" borderId="27" xfId="0" applyFont="1" applyFill="1" applyBorder="1" applyAlignment="1" applyProtection="1">
      <alignment horizontal="left" wrapText="1" indent="2"/>
      <protection hidden="1"/>
    </xf>
    <xf numFmtId="165" fontId="19" fillId="5" borderId="6" xfId="0" applyNumberFormat="1" applyFont="1" applyFill="1" applyBorder="1" applyAlignment="1" applyProtection="1">
      <alignment horizontal="left" vertical="center" indent="1"/>
      <protection hidden="1"/>
    </xf>
    <xf numFmtId="175" fontId="7" fillId="5" borderId="7" xfId="0" applyNumberFormat="1" applyFont="1" applyFill="1" applyBorder="1" applyAlignment="1" applyProtection="1">
      <alignment vertical="center"/>
      <protection hidden="1"/>
    </xf>
    <xf numFmtId="176" fontId="7" fillId="5" borderId="7" xfId="0" applyNumberFormat="1" applyFont="1" applyFill="1" applyBorder="1" applyAlignment="1" applyProtection="1">
      <alignment vertical="center"/>
      <protection hidden="1"/>
    </xf>
    <xf numFmtId="0" fontId="23" fillId="5" borderId="6" xfId="0" applyFont="1" applyFill="1" applyBorder="1" applyAlignment="1" applyProtection="1">
      <alignment horizontal="left" vertical="center" indent="2"/>
      <protection hidden="1"/>
    </xf>
    <xf numFmtId="175" fontId="7" fillId="5" borderId="5" xfId="0" applyNumberFormat="1" applyFont="1" applyFill="1" applyBorder="1" applyAlignment="1" applyProtection="1">
      <alignment vertical="center"/>
      <protection hidden="1"/>
    </xf>
    <xf numFmtId="0" fontId="7" fillId="5" borderId="6" xfId="0" applyFont="1" applyFill="1" applyBorder="1" applyAlignment="1" applyProtection="1">
      <alignment horizontal="left" vertical="center" indent="3"/>
      <protection hidden="1"/>
    </xf>
    <xf numFmtId="176" fontId="7" fillId="5" borderId="31" xfId="0" applyNumberFormat="1" applyFont="1" applyFill="1" applyBorder="1" applyAlignment="1" applyProtection="1">
      <alignment vertical="center"/>
      <protection hidden="1"/>
    </xf>
    <xf numFmtId="172" fontId="7" fillId="5" borderId="33" xfId="0" applyNumberFormat="1" applyFont="1" applyFill="1" applyBorder="1" applyAlignment="1" applyProtection="1">
      <alignment horizontal="center" vertical="center"/>
      <protection hidden="1"/>
    </xf>
    <xf numFmtId="0" fontId="6" fillId="5" borderId="40" xfId="0" applyFont="1" applyFill="1" applyBorder="1" applyProtection="1">
      <protection hidden="1"/>
    </xf>
    <xf numFmtId="0" fontId="18" fillId="5" borderId="31" xfId="0" applyFont="1" applyFill="1" applyBorder="1" applyAlignment="1" applyProtection="1">
      <protection hidden="1"/>
    </xf>
    <xf numFmtId="0" fontId="18" fillId="5" borderId="33" xfId="0" applyFont="1" applyFill="1" applyBorder="1" applyAlignment="1" applyProtection="1">
      <protection hidden="1"/>
    </xf>
    <xf numFmtId="0" fontId="23" fillId="5" borderId="6" xfId="0" applyFont="1" applyFill="1" applyBorder="1" applyAlignment="1" applyProtection="1">
      <alignment horizontal="left" vertical="center" wrapText="1" indent="2"/>
      <protection hidden="1"/>
    </xf>
    <xf numFmtId="0" fontId="6" fillId="5" borderId="31" xfId="0" applyFont="1" applyFill="1" applyBorder="1" applyAlignment="1" applyProtection="1">
      <alignment vertical="center"/>
      <protection hidden="1"/>
    </xf>
    <xf numFmtId="0" fontId="6" fillId="5" borderId="33" xfId="0" applyFont="1" applyFill="1" applyBorder="1" applyAlignment="1" applyProtection="1">
      <alignment vertical="center"/>
      <protection hidden="1"/>
    </xf>
    <xf numFmtId="180" fontId="6" fillId="5" borderId="69" xfId="0" applyNumberFormat="1" applyFont="1" applyFill="1" applyBorder="1" applyAlignment="1" applyProtection="1">
      <alignment vertical="center"/>
      <protection hidden="1"/>
    </xf>
    <xf numFmtId="0" fontId="6" fillId="5" borderId="5" xfId="0" applyFont="1" applyFill="1" applyBorder="1" applyAlignment="1" applyProtection="1">
      <alignment vertical="center"/>
      <protection hidden="1"/>
    </xf>
    <xf numFmtId="0" fontId="6" fillId="5" borderId="4" xfId="0" applyFont="1" applyFill="1" applyBorder="1" applyAlignment="1" applyProtection="1">
      <alignment vertical="center"/>
      <protection hidden="1"/>
    </xf>
    <xf numFmtId="0" fontId="7" fillId="5" borderId="6" xfId="0" applyFont="1" applyFill="1" applyBorder="1" applyAlignment="1" applyProtection="1">
      <alignment horizontal="left" vertical="center" wrapText="1" indent="3"/>
      <protection hidden="1"/>
    </xf>
    <xf numFmtId="165" fontId="19" fillId="5" borderId="71" xfId="0" applyNumberFormat="1" applyFont="1" applyFill="1" applyBorder="1" applyAlignment="1" applyProtection="1">
      <alignment horizontal="left" vertical="center" indent="1"/>
      <protection hidden="1"/>
    </xf>
    <xf numFmtId="0" fontId="7" fillId="5" borderId="15" xfId="0" applyFont="1" applyFill="1" applyBorder="1" applyAlignment="1" applyProtection="1">
      <alignment horizontal="left" vertical="center" indent="2"/>
      <protection hidden="1"/>
    </xf>
    <xf numFmtId="172" fontId="7" fillId="5" borderId="51" xfId="0" applyNumberFormat="1" applyFont="1" applyFill="1" applyBorder="1" applyAlignment="1" applyProtection="1">
      <alignment horizontal="center" vertical="center"/>
      <protection hidden="1"/>
    </xf>
    <xf numFmtId="0" fontId="7" fillId="0" borderId="0" xfId="0" applyFont="1" applyFill="1" applyProtection="1">
      <protection hidden="1"/>
    </xf>
    <xf numFmtId="172" fontId="6" fillId="0" borderId="0" xfId="0" applyNumberFormat="1" applyFont="1" applyFill="1" applyProtection="1">
      <protection hidden="1"/>
    </xf>
    <xf numFmtId="166" fontId="6" fillId="0" borderId="0" xfId="0" applyNumberFormat="1" applyFont="1" applyFill="1" applyProtection="1">
      <protection hidden="1"/>
    </xf>
    <xf numFmtId="173" fontId="6" fillId="0" borderId="0" xfId="0" applyNumberFormat="1" applyFont="1" applyFill="1" applyProtection="1">
      <protection hidden="1"/>
    </xf>
    <xf numFmtId="176" fontId="17" fillId="5" borderId="5" xfId="0" applyNumberFormat="1" applyFont="1" applyFill="1" applyBorder="1" applyAlignment="1" applyProtection="1">
      <alignment vertical="center"/>
      <protection hidden="1"/>
    </xf>
    <xf numFmtId="0" fontId="7" fillId="5" borderId="4" xfId="0" applyFont="1" applyFill="1" applyBorder="1" applyAlignment="1" applyProtection="1">
      <alignment horizontal="center" vertical="center"/>
      <protection hidden="1"/>
    </xf>
    <xf numFmtId="172" fontId="5" fillId="5" borderId="7" xfId="0" applyNumberFormat="1" applyFont="1" applyFill="1" applyBorder="1" applyAlignment="1" applyProtection="1">
      <alignment vertical="center"/>
      <protection hidden="1"/>
    </xf>
    <xf numFmtId="175" fontId="7" fillId="5" borderId="68" xfId="0" applyNumberFormat="1" applyFont="1" applyFill="1" applyBorder="1" applyAlignment="1" applyProtection="1">
      <alignment vertical="center"/>
      <protection hidden="1"/>
    </xf>
    <xf numFmtId="175" fontId="7" fillId="5" borderId="75" xfId="0" applyNumberFormat="1" applyFont="1" applyFill="1" applyBorder="1" applyAlignment="1" applyProtection="1">
      <alignment vertical="center"/>
      <protection hidden="1"/>
    </xf>
    <xf numFmtId="175" fontId="17" fillId="5" borderId="68" xfId="0" applyNumberFormat="1" applyFont="1" applyFill="1" applyBorder="1" applyAlignment="1" applyProtection="1">
      <alignment vertical="center"/>
      <protection hidden="1"/>
    </xf>
    <xf numFmtId="175" fontId="7" fillId="5" borderId="69" xfId="0" applyNumberFormat="1" applyFont="1" applyFill="1" applyBorder="1" applyAlignment="1" applyProtection="1">
      <alignment vertical="center"/>
      <protection hidden="1"/>
    </xf>
    <xf numFmtId="175" fontId="17" fillId="5" borderId="69" xfId="0" applyNumberFormat="1" applyFont="1" applyFill="1" applyBorder="1" applyAlignment="1" applyProtection="1">
      <alignment vertical="center"/>
      <protection hidden="1"/>
    </xf>
    <xf numFmtId="164" fontId="7" fillId="9" borderId="34" xfId="0" applyNumberFormat="1" applyFont="1" applyFill="1" applyBorder="1" applyAlignment="1" applyProtection="1">
      <alignment horizontal="left" vertical="center" indent="2"/>
      <protection hidden="1"/>
    </xf>
    <xf numFmtId="175" fontId="17" fillId="5" borderId="5" xfId="0" applyNumberFormat="1" applyFont="1" applyFill="1" applyBorder="1" applyAlignment="1" applyProtection="1">
      <alignment vertical="center"/>
      <protection hidden="1"/>
    </xf>
    <xf numFmtId="0" fontId="7" fillId="9" borderId="10" xfId="0" applyNumberFormat="1" applyFont="1" applyFill="1" applyBorder="1" applyAlignment="1" applyProtection="1">
      <alignment vertical="center"/>
      <protection hidden="1"/>
    </xf>
    <xf numFmtId="175" fontId="7" fillId="5" borderId="70" xfId="0" applyNumberFormat="1" applyFont="1" applyFill="1" applyBorder="1" applyAlignment="1" applyProtection="1">
      <alignment vertical="center"/>
      <protection hidden="1"/>
    </xf>
    <xf numFmtId="175" fontId="7" fillId="5" borderId="49" xfId="0" applyNumberFormat="1" applyFont="1" applyFill="1" applyBorder="1" applyAlignment="1" applyProtection="1">
      <alignment vertical="center"/>
      <protection hidden="1"/>
    </xf>
    <xf numFmtId="175" fontId="17" fillId="5" borderId="49" xfId="0" applyNumberFormat="1" applyFont="1" applyFill="1" applyBorder="1" applyAlignment="1" applyProtection="1">
      <alignment vertical="center"/>
      <protection hidden="1"/>
    </xf>
    <xf numFmtId="0" fontId="6" fillId="5" borderId="61" xfId="0" applyNumberFormat="1" applyFont="1" applyFill="1" applyBorder="1" applyAlignment="1" applyProtection="1">
      <alignment vertical="center"/>
      <protection hidden="1"/>
    </xf>
    <xf numFmtId="0" fontId="6" fillId="5" borderId="62" xfId="0" applyFont="1" applyFill="1" applyBorder="1" applyProtection="1">
      <protection hidden="1"/>
    </xf>
    <xf numFmtId="175" fontId="7" fillId="5" borderId="28" xfId="0" applyNumberFormat="1" applyFont="1" applyFill="1" applyBorder="1" applyAlignment="1" applyProtection="1">
      <alignment vertical="center"/>
      <protection hidden="1"/>
    </xf>
    <xf numFmtId="176" fontId="7" fillId="5" borderId="28" xfId="0" applyNumberFormat="1" applyFont="1" applyFill="1" applyBorder="1" applyAlignment="1" applyProtection="1">
      <alignment vertical="center"/>
      <protection hidden="1"/>
    </xf>
    <xf numFmtId="172" fontId="7" fillId="5" borderId="29" xfId="0" applyNumberFormat="1" applyFont="1" applyFill="1" applyBorder="1" applyAlignment="1" applyProtection="1">
      <alignment horizontal="center" vertical="center"/>
      <protection hidden="1"/>
    </xf>
    <xf numFmtId="175" fontId="7" fillId="5" borderId="31" xfId="0" applyNumberFormat="1" applyFont="1" applyFill="1" applyBorder="1" applyAlignment="1" applyProtection="1">
      <alignment vertical="center"/>
      <protection hidden="1"/>
    </xf>
    <xf numFmtId="0" fontId="15" fillId="5" borderId="2" xfId="0" applyFont="1" applyFill="1" applyBorder="1" applyAlignment="1" applyProtection="1">
      <alignment horizontal="center" vertical="center"/>
      <protection hidden="1"/>
    </xf>
    <xf numFmtId="0" fontId="6" fillId="4" borderId="1" xfId="0" applyFont="1" applyFill="1" applyBorder="1" applyAlignment="1" applyProtection="1">
      <alignment vertical="center"/>
      <protection hidden="1"/>
    </xf>
    <xf numFmtId="0" fontId="6" fillId="9" borderId="23" xfId="0" applyFont="1" applyFill="1" applyBorder="1" applyAlignment="1" applyProtection="1">
      <alignment horizontal="center" vertical="center"/>
      <protection hidden="1"/>
    </xf>
    <xf numFmtId="0" fontId="6" fillId="9" borderId="51" xfId="0" applyFont="1" applyFill="1" applyBorder="1" applyAlignment="1" applyProtection="1">
      <alignment horizontal="center" vertical="center"/>
      <protection hidden="1"/>
    </xf>
    <xf numFmtId="169" fontId="7" fillId="10" borderId="22" xfId="0" applyNumberFormat="1" applyFont="1" applyFill="1" applyBorder="1" applyAlignment="1" applyProtection="1">
      <alignment horizontal="center" vertical="top"/>
      <protection hidden="1"/>
    </xf>
    <xf numFmtId="0" fontId="7" fillId="9" borderId="25" xfId="0" applyFont="1" applyFill="1" applyBorder="1" applyAlignment="1" applyProtection="1">
      <alignment horizontal="center" vertical="top" wrapText="1"/>
      <protection hidden="1"/>
    </xf>
    <xf numFmtId="169" fontId="7" fillId="10" borderId="62" xfId="0" applyNumberFormat="1" applyFont="1" applyFill="1" applyBorder="1" applyAlignment="1" applyProtection="1">
      <alignment horizontal="center" vertical="center"/>
      <protection hidden="1"/>
    </xf>
    <xf numFmtId="0" fontId="7" fillId="9" borderId="29" xfId="0" applyFont="1" applyFill="1" applyBorder="1" applyAlignment="1" applyProtection="1">
      <alignment horizontal="center" vertical="center" wrapText="1"/>
      <protection hidden="1"/>
    </xf>
    <xf numFmtId="183" fontId="6" fillId="10" borderId="17" xfId="0" applyNumberFormat="1" applyFont="1" applyFill="1" applyBorder="1" applyAlignment="1" applyProtection="1">
      <alignment horizontal="center" vertical="center"/>
      <protection hidden="1"/>
    </xf>
    <xf numFmtId="0" fontId="6" fillId="3" borderId="0" xfId="0" applyFont="1" applyFill="1" applyBorder="1" applyAlignment="1" applyProtection="1">
      <alignment horizontal="centerContinuous" vertical="center"/>
      <protection hidden="1"/>
    </xf>
    <xf numFmtId="0" fontId="7" fillId="9" borderId="2" xfId="0" applyFont="1" applyFill="1" applyBorder="1" applyAlignment="1" applyProtection="1">
      <alignment vertical="top" wrapText="1"/>
      <protection hidden="1"/>
    </xf>
    <xf numFmtId="0" fontId="6" fillId="5" borderId="3" xfId="0" applyNumberFormat="1" applyFont="1" applyFill="1" applyBorder="1" applyAlignment="1" applyProtection="1">
      <protection hidden="1"/>
    </xf>
    <xf numFmtId="0" fontId="6" fillId="5" borderId="65" xfId="0" applyNumberFormat="1" applyFont="1" applyFill="1" applyBorder="1" applyAlignment="1" applyProtection="1">
      <protection hidden="1"/>
    </xf>
    <xf numFmtId="0" fontId="6" fillId="5" borderId="45" xfId="0" applyNumberFormat="1" applyFont="1" applyFill="1" applyBorder="1" applyAlignment="1" applyProtection="1">
      <protection hidden="1"/>
    </xf>
    <xf numFmtId="0" fontId="6" fillId="2" borderId="31" xfId="0" applyFont="1" applyFill="1" applyBorder="1" applyAlignment="1" applyProtection="1">
      <protection hidden="1"/>
    </xf>
    <xf numFmtId="2" fontId="6" fillId="2" borderId="31" xfId="0" applyNumberFormat="1" applyFont="1" applyFill="1" applyBorder="1" applyAlignment="1" applyProtection="1">
      <protection hidden="1"/>
    </xf>
    <xf numFmtId="2" fontId="6" fillId="2" borderId="35" xfId="0" applyNumberFormat="1" applyFont="1" applyFill="1" applyBorder="1" applyAlignment="1" applyProtection="1">
      <protection hidden="1"/>
    </xf>
    <xf numFmtId="179" fontId="6" fillId="2" borderId="31" xfId="0" applyNumberFormat="1" applyFont="1" applyFill="1" applyBorder="1" applyAlignment="1" applyProtection="1">
      <alignment vertical="center"/>
      <protection hidden="1"/>
    </xf>
    <xf numFmtId="0" fontId="6" fillId="2" borderId="3" xfId="0" applyFont="1" applyFill="1" applyBorder="1" applyAlignment="1" applyProtection="1">
      <alignment horizontal="center"/>
      <protection hidden="1"/>
    </xf>
    <xf numFmtId="0" fontId="6" fillId="2" borderId="5" xfId="0" applyFont="1" applyFill="1" applyBorder="1" applyAlignment="1" applyProtection="1">
      <alignment horizontal="center"/>
      <protection hidden="1"/>
    </xf>
    <xf numFmtId="2" fontId="6" fillId="2" borderId="5" xfId="0" applyNumberFormat="1" applyFont="1" applyFill="1" applyBorder="1" applyAlignment="1" applyProtection="1">
      <alignment horizontal="center"/>
      <protection hidden="1"/>
    </xf>
    <xf numFmtId="2" fontId="6" fillId="2" borderId="45" xfId="0" applyNumberFormat="1" applyFont="1" applyFill="1" applyBorder="1" applyAlignment="1" applyProtection="1">
      <alignment horizontal="center"/>
      <protection hidden="1"/>
    </xf>
    <xf numFmtId="0" fontId="6" fillId="2" borderId="36" xfId="0" applyFont="1" applyFill="1" applyBorder="1" applyAlignment="1" applyProtection="1">
      <alignment horizontal="center"/>
      <protection hidden="1"/>
    </xf>
    <xf numFmtId="0" fontId="6" fillId="2" borderId="28" xfId="0" applyFont="1" applyFill="1" applyBorder="1" applyAlignment="1" applyProtection="1">
      <alignment horizontal="center"/>
      <protection hidden="1"/>
    </xf>
    <xf numFmtId="2" fontId="6" fillId="2" borderId="28" xfId="0" applyNumberFormat="1" applyFont="1" applyFill="1" applyBorder="1" applyAlignment="1" applyProtection="1">
      <alignment horizontal="center"/>
      <protection hidden="1"/>
    </xf>
    <xf numFmtId="2" fontId="6" fillId="2" borderId="37" xfId="0" applyNumberFormat="1" applyFont="1" applyFill="1" applyBorder="1" applyAlignment="1" applyProtection="1">
      <alignment horizontal="center"/>
      <protection hidden="1"/>
    </xf>
    <xf numFmtId="179" fontId="6" fillId="2" borderId="7" xfId="0" applyNumberFormat="1" applyFont="1" applyFill="1" applyBorder="1" applyAlignment="1" applyProtection="1">
      <protection hidden="1"/>
    </xf>
    <xf numFmtId="186" fontId="6" fillId="2" borderId="31" xfId="0" applyNumberFormat="1" applyFont="1" applyFill="1" applyBorder="1" applyAlignment="1" applyProtection="1">
      <alignment vertical="center"/>
      <protection hidden="1"/>
    </xf>
    <xf numFmtId="180" fontId="6" fillId="10" borderId="14" xfId="0" applyNumberFormat="1" applyFont="1" applyFill="1" applyBorder="1" applyAlignment="1" applyProtection="1">
      <alignment vertical="center"/>
      <protection hidden="1"/>
    </xf>
    <xf numFmtId="186" fontId="6" fillId="10" borderId="49" xfId="0" applyNumberFormat="1" applyFont="1" applyFill="1" applyBorder="1" applyAlignment="1" applyProtection="1">
      <alignment vertical="center"/>
      <protection hidden="1"/>
    </xf>
    <xf numFmtId="180" fontId="6" fillId="3" borderId="14" xfId="0" applyNumberFormat="1" applyFont="1" applyFill="1" applyBorder="1" applyAlignment="1" applyProtection="1">
      <alignment vertical="center"/>
      <protection hidden="1"/>
    </xf>
    <xf numFmtId="186" fontId="6" fillId="3" borderId="49" xfId="0" applyNumberFormat="1" applyFont="1" applyFill="1" applyBorder="1" applyAlignment="1" applyProtection="1">
      <alignment vertical="center"/>
      <protection hidden="1"/>
    </xf>
    <xf numFmtId="0" fontId="6" fillId="5" borderId="0" xfId="9" applyFont="1" applyFill="1" applyProtection="1">
      <protection hidden="1"/>
    </xf>
    <xf numFmtId="0" fontId="6" fillId="5" borderId="0" xfId="9" applyFont="1" applyFill="1" applyAlignment="1" applyProtection="1">
      <alignment horizontal="center"/>
      <protection hidden="1"/>
    </xf>
    <xf numFmtId="0" fontId="7" fillId="3" borderId="65" xfId="9" applyFont="1" applyFill="1" applyBorder="1" applyAlignment="1" applyProtection="1">
      <alignment horizontal="left" vertical="center"/>
      <protection hidden="1"/>
    </xf>
    <xf numFmtId="0" fontId="7" fillId="3" borderId="65" xfId="9" applyFont="1" applyFill="1" applyBorder="1" applyAlignment="1" applyProtection="1">
      <alignment vertical="center"/>
      <protection hidden="1"/>
    </xf>
    <xf numFmtId="0" fontId="6" fillId="3" borderId="65" xfId="9" applyFont="1" applyFill="1" applyBorder="1" applyAlignment="1" applyProtection="1">
      <alignment vertical="center"/>
      <protection hidden="1"/>
    </xf>
    <xf numFmtId="0" fontId="7" fillId="3" borderId="65" xfId="9" applyFont="1" applyFill="1" applyBorder="1" applyAlignment="1" applyProtection="1">
      <alignment horizontal="right" vertical="center"/>
      <protection hidden="1"/>
    </xf>
    <xf numFmtId="0" fontId="7" fillId="4" borderId="1" xfId="9" applyFont="1" applyFill="1" applyBorder="1" applyAlignment="1" applyProtection="1">
      <alignment horizontal="right" vertical="top"/>
      <protection hidden="1"/>
    </xf>
    <xf numFmtId="0" fontId="7" fillId="4" borderId="0" xfId="9" applyFont="1" applyFill="1" applyBorder="1" applyAlignment="1" applyProtection="1">
      <alignment horizontal="right" vertical="top"/>
      <protection hidden="1"/>
    </xf>
    <xf numFmtId="0" fontId="6" fillId="2" borderId="0" xfId="9" applyFont="1" applyFill="1" applyAlignment="1" applyProtection="1">
      <alignment vertical="top"/>
      <protection hidden="1"/>
    </xf>
    <xf numFmtId="0" fontId="6" fillId="3" borderId="0" xfId="9" applyFont="1" applyFill="1" applyBorder="1" applyAlignment="1" applyProtection="1">
      <alignment horizontal="left" indent="2"/>
      <protection hidden="1"/>
    </xf>
    <xf numFmtId="0" fontId="6" fillId="3" borderId="0" xfId="9" applyFont="1" applyFill="1" applyBorder="1" applyAlignment="1" applyProtection="1">
      <alignment vertical="top"/>
      <protection hidden="1"/>
    </xf>
    <xf numFmtId="0" fontId="6" fillId="4" borderId="2" xfId="9" applyFont="1" applyFill="1" applyBorder="1" applyAlignment="1" applyProtection="1">
      <alignment vertical="center"/>
      <protection hidden="1"/>
    </xf>
    <xf numFmtId="0" fontId="6" fillId="4" borderId="0" xfId="9" applyFont="1" applyFill="1" applyBorder="1" applyAlignment="1" applyProtection="1">
      <alignment vertical="center"/>
      <protection hidden="1"/>
    </xf>
    <xf numFmtId="0" fontId="6" fillId="2" borderId="0" xfId="9" applyFont="1" applyFill="1" applyProtection="1">
      <protection hidden="1"/>
    </xf>
    <xf numFmtId="0" fontId="6" fillId="4" borderId="2" xfId="9" applyFont="1" applyFill="1" applyBorder="1" applyAlignment="1" applyProtection="1">
      <alignment horizontal="center" vertical="center"/>
      <protection hidden="1"/>
    </xf>
    <xf numFmtId="0" fontId="6" fillId="4" borderId="0" xfId="9" applyFont="1" applyFill="1" applyBorder="1" applyAlignment="1" applyProtection="1">
      <alignment horizontal="center" vertical="center"/>
      <protection hidden="1"/>
    </xf>
    <xf numFmtId="0" fontId="6" fillId="4" borderId="0" xfId="9" applyFont="1" applyFill="1" applyBorder="1" applyProtection="1">
      <protection hidden="1"/>
    </xf>
    <xf numFmtId="0" fontId="6" fillId="3" borderId="0" xfId="9" applyFont="1" applyFill="1" applyBorder="1" applyProtection="1">
      <protection hidden="1"/>
    </xf>
    <xf numFmtId="0" fontId="6" fillId="3" borderId="0" xfId="9" applyFont="1" applyFill="1" applyBorder="1" applyAlignment="1" applyProtection="1">
      <alignment horizontal="center"/>
      <protection hidden="1"/>
    </xf>
    <xf numFmtId="0" fontId="6" fillId="4" borderId="2" xfId="9" applyFont="1" applyFill="1" applyBorder="1" applyProtection="1">
      <protection hidden="1"/>
    </xf>
    <xf numFmtId="0" fontId="6" fillId="9" borderId="0" xfId="9" applyNumberFormat="1" applyFont="1" applyFill="1" applyBorder="1" applyAlignment="1" applyProtection="1">
      <protection hidden="1"/>
    </xf>
    <xf numFmtId="0" fontId="6" fillId="2" borderId="0" xfId="9" applyNumberFormat="1" applyFont="1" applyFill="1" applyBorder="1" applyAlignment="1" applyProtection="1">
      <protection hidden="1"/>
    </xf>
    <xf numFmtId="0" fontId="6" fillId="9" borderId="0" xfId="0" applyNumberFormat="1" applyFont="1" applyFill="1" applyBorder="1" applyAlignment="1" applyProtection="1">
      <protection hidden="1"/>
    </xf>
    <xf numFmtId="0" fontId="6" fillId="2" borderId="0" xfId="0" applyNumberFormat="1" applyFont="1" applyFill="1" applyBorder="1" applyAlignment="1" applyProtection="1">
      <protection hidden="1"/>
    </xf>
    <xf numFmtId="0" fontId="7" fillId="3" borderId="7" xfId="9" applyFont="1" applyFill="1" applyBorder="1" applyAlignment="1" applyProtection="1">
      <alignment horizontal="center" vertical="center"/>
      <protection hidden="1"/>
    </xf>
    <xf numFmtId="0" fontId="7" fillId="3" borderId="11" xfId="9" applyFont="1" applyFill="1" applyBorder="1" applyAlignment="1" applyProtection="1">
      <alignment horizontal="center" vertical="center"/>
      <protection hidden="1"/>
    </xf>
    <xf numFmtId="172" fontId="7" fillId="2" borderId="28" xfId="0" applyNumberFormat="1" applyFont="1" applyFill="1" applyBorder="1" applyAlignment="1" applyProtection="1">
      <alignment horizontal="center" vertical="top"/>
      <protection hidden="1"/>
    </xf>
    <xf numFmtId="172" fontId="7" fillId="2" borderId="42" xfId="0" applyNumberFormat="1" applyFont="1" applyFill="1" applyBorder="1" applyAlignment="1" applyProtection="1">
      <alignment horizontal="center" vertical="top"/>
      <protection hidden="1"/>
    </xf>
    <xf numFmtId="0" fontId="6" fillId="9" borderId="5" xfId="9" applyNumberFormat="1" applyFont="1" applyFill="1" applyBorder="1" applyAlignment="1" applyProtection="1">
      <protection hidden="1"/>
    </xf>
    <xf numFmtId="0" fontId="6" fillId="9" borderId="32" xfId="9" applyNumberFormat="1" applyFont="1" applyFill="1" applyBorder="1" applyAlignment="1" applyProtection="1">
      <protection hidden="1"/>
    </xf>
    <xf numFmtId="0" fontId="6" fillId="9" borderId="31" xfId="9" applyNumberFormat="1" applyFont="1" applyFill="1" applyBorder="1" applyAlignment="1" applyProtection="1">
      <protection hidden="1"/>
    </xf>
    <xf numFmtId="172" fontId="7" fillId="9" borderId="45" xfId="0" applyNumberFormat="1" applyFont="1" applyFill="1" applyBorder="1" applyAlignment="1" applyProtection="1">
      <alignment vertical="center"/>
      <protection hidden="1"/>
    </xf>
    <xf numFmtId="0" fontId="6" fillId="2" borderId="10" xfId="0" applyFont="1" applyFill="1" applyBorder="1" applyAlignment="1" applyProtection="1">
      <alignment horizontal="left" vertical="center" indent="2"/>
      <protection hidden="1"/>
    </xf>
    <xf numFmtId="0" fontId="6" fillId="2" borderId="49" xfId="0" applyFont="1" applyFill="1" applyBorder="1" applyAlignment="1" applyProtection="1">
      <alignment horizontal="center" vertical="center"/>
      <protection hidden="1"/>
    </xf>
    <xf numFmtId="0" fontId="6" fillId="9" borderId="0" xfId="0" quotePrefix="1" applyNumberFormat="1" applyFont="1" applyFill="1" applyBorder="1" applyAlignment="1" applyProtection="1">
      <protection hidden="1"/>
    </xf>
    <xf numFmtId="0" fontId="7" fillId="3" borderId="34" xfId="9" applyFont="1" applyFill="1" applyBorder="1" applyAlignment="1" applyProtection="1">
      <alignment horizontal="left" vertical="center" indent="1"/>
      <protection hidden="1"/>
    </xf>
    <xf numFmtId="0" fontId="6" fillId="9" borderId="81" xfId="9" applyNumberFormat="1" applyFont="1" applyFill="1" applyBorder="1" applyAlignment="1" applyProtection="1">
      <protection hidden="1"/>
    </xf>
    <xf numFmtId="0" fontId="6" fillId="9" borderId="58" xfId="9" applyNumberFormat="1" applyFont="1" applyFill="1" applyBorder="1" applyAlignment="1" applyProtection="1">
      <protection hidden="1"/>
    </xf>
    <xf numFmtId="0" fontId="6" fillId="2" borderId="0" xfId="0" quotePrefix="1" applyNumberFormat="1" applyFont="1" applyFill="1" applyBorder="1" applyAlignment="1" applyProtection="1">
      <protection hidden="1"/>
    </xf>
    <xf numFmtId="0" fontId="6" fillId="2" borderId="0" xfId="0" applyFont="1" applyFill="1" applyBorder="1" applyAlignment="1" applyProtection="1">
      <alignment horizontal="center" vertical="center"/>
      <protection hidden="1"/>
    </xf>
    <xf numFmtId="2" fontId="6" fillId="2" borderId="0" xfId="0" quotePrefix="1" applyNumberFormat="1" applyFont="1" applyFill="1" applyBorder="1" applyAlignment="1" applyProtection="1">
      <alignment horizontal="center" vertical="center"/>
      <protection hidden="1"/>
    </xf>
    <xf numFmtId="2" fontId="6" fillId="2" borderId="0" xfId="0" applyNumberFormat="1" applyFont="1" applyFill="1" applyBorder="1" applyAlignment="1" applyProtection="1">
      <alignment horizontal="center" vertical="center"/>
      <protection hidden="1"/>
    </xf>
    <xf numFmtId="0" fontId="6" fillId="3" borderId="0" xfId="9" applyFont="1" applyFill="1" applyBorder="1" applyAlignment="1" applyProtection="1">
      <protection hidden="1"/>
    </xf>
    <xf numFmtId="0" fontId="6" fillId="4" borderId="2" xfId="9" applyFont="1" applyFill="1" applyBorder="1" applyAlignment="1" applyProtection="1">
      <alignment horizontal="centerContinuous" vertical="center"/>
      <protection hidden="1"/>
    </xf>
    <xf numFmtId="0" fontId="6" fillId="4" borderId="0" xfId="9" applyFont="1" applyFill="1" applyBorder="1" applyAlignment="1" applyProtection="1">
      <alignment horizontal="centerContinuous" vertical="center"/>
      <protection hidden="1"/>
    </xf>
    <xf numFmtId="0" fontId="6" fillId="2" borderId="0" xfId="9" applyFont="1" applyFill="1" applyAlignment="1" applyProtection="1">
      <alignment vertical="center"/>
      <protection hidden="1"/>
    </xf>
    <xf numFmtId="0" fontId="6" fillId="3" borderId="60" xfId="9" applyFont="1" applyFill="1" applyBorder="1" applyAlignment="1" applyProtection="1">
      <alignment horizontal="centerContinuous" vertical="center"/>
      <protection hidden="1"/>
    </xf>
    <xf numFmtId="0" fontId="6" fillId="4" borderId="42" xfId="9" applyFont="1" applyFill="1" applyBorder="1" applyAlignment="1" applyProtection="1">
      <alignment horizontal="centerContinuous" vertical="center"/>
      <protection hidden="1"/>
    </xf>
    <xf numFmtId="0" fontId="7" fillId="2" borderId="0" xfId="0" applyFont="1" applyFill="1" applyBorder="1" applyAlignment="1" applyProtection="1">
      <protection hidden="1"/>
    </xf>
    <xf numFmtId="0" fontId="7" fillId="3" borderId="8" xfId="9" applyFont="1" applyFill="1" applyBorder="1" applyAlignment="1" applyProtection="1">
      <alignment horizontal="center" vertical="center"/>
      <protection hidden="1"/>
    </xf>
    <xf numFmtId="0" fontId="6" fillId="9" borderId="33" xfId="9" applyNumberFormat="1" applyFont="1" applyFill="1" applyBorder="1" applyAlignment="1" applyProtection="1">
      <protection hidden="1"/>
    </xf>
    <xf numFmtId="0" fontId="7" fillId="3" borderId="9" xfId="9" applyFont="1" applyFill="1" applyBorder="1" applyAlignment="1" applyProtection="1">
      <alignment horizontal="center" vertical="center"/>
      <protection hidden="1"/>
    </xf>
    <xf numFmtId="0" fontId="6" fillId="3" borderId="10" xfId="9" applyFont="1" applyFill="1" applyBorder="1" applyProtection="1">
      <protection hidden="1"/>
    </xf>
    <xf numFmtId="172" fontId="7" fillId="2" borderId="7" xfId="0" applyNumberFormat="1" applyFont="1" applyFill="1" applyBorder="1" applyAlignment="1" applyProtection="1">
      <alignment horizontal="center" vertical="top"/>
      <protection hidden="1"/>
    </xf>
    <xf numFmtId="172" fontId="7" fillId="2" borderId="11" xfId="0" applyNumberFormat="1" applyFont="1" applyFill="1" applyBorder="1" applyAlignment="1" applyProtection="1">
      <alignment horizontal="center" vertical="top"/>
      <protection hidden="1"/>
    </xf>
    <xf numFmtId="0" fontId="7" fillId="3" borderId="10" xfId="9" applyFont="1" applyFill="1" applyBorder="1" applyAlignment="1" applyProtection="1">
      <alignment horizontal="left" vertical="center" indent="1"/>
      <protection hidden="1"/>
    </xf>
    <xf numFmtId="180" fontId="7" fillId="9" borderId="1" xfId="9" applyNumberFormat="1" applyFont="1" applyFill="1" applyBorder="1" applyAlignment="1" applyProtection="1">
      <alignment vertical="center"/>
      <protection hidden="1"/>
    </xf>
    <xf numFmtId="180" fontId="7" fillId="9" borderId="5" xfId="9" applyNumberFormat="1" applyFont="1" applyFill="1" applyBorder="1" applyAlignment="1" applyProtection="1">
      <alignment vertical="center"/>
      <protection hidden="1"/>
    </xf>
    <xf numFmtId="180" fontId="7" fillId="9" borderId="31" xfId="9" applyNumberFormat="1" applyFont="1" applyFill="1" applyBorder="1" applyAlignment="1" applyProtection="1">
      <alignment vertical="center"/>
      <protection hidden="1"/>
    </xf>
    <xf numFmtId="180" fontId="7" fillId="9" borderId="32" xfId="9" applyNumberFormat="1" applyFont="1" applyFill="1" applyBorder="1" applyAlignment="1" applyProtection="1">
      <alignment vertical="center"/>
      <protection hidden="1"/>
    </xf>
    <xf numFmtId="180" fontId="7" fillId="9" borderId="33" xfId="9" applyNumberFormat="1" applyFont="1" applyFill="1" applyBorder="1" applyAlignment="1" applyProtection="1">
      <alignment vertical="center"/>
      <protection hidden="1"/>
    </xf>
    <xf numFmtId="180" fontId="7" fillId="3" borderId="92" xfId="9" applyNumberFormat="1" applyFont="1" applyFill="1" applyBorder="1" applyAlignment="1" applyProtection="1">
      <alignment vertical="center"/>
      <protection hidden="1"/>
    </xf>
    <xf numFmtId="0" fontId="6" fillId="3" borderId="36" xfId="9" applyFont="1" applyFill="1" applyBorder="1" applyProtection="1">
      <protection hidden="1"/>
    </xf>
    <xf numFmtId="172" fontId="7" fillId="2" borderId="11" xfId="0" applyNumberFormat="1" applyFont="1" applyFill="1" applyBorder="1" applyAlignment="1" applyProtection="1">
      <alignment horizontal="center" vertical="center"/>
      <protection hidden="1"/>
    </xf>
    <xf numFmtId="0" fontId="7" fillId="3" borderId="8" xfId="9" applyFont="1" applyFill="1" applyBorder="1" applyAlignment="1" applyProtection="1">
      <alignment horizontal="center" vertical="top" wrapText="1"/>
      <protection hidden="1"/>
    </xf>
    <xf numFmtId="180" fontId="7" fillId="9" borderId="4" xfId="9" applyNumberFormat="1" applyFont="1" applyFill="1" applyBorder="1" applyAlignment="1" applyProtection="1">
      <alignment vertical="center"/>
      <protection hidden="1"/>
    </xf>
    <xf numFmtId="180" fontId="7" fillId="9" borderId="35" xfId="9" applyNumberFormat="1" applyFont="1" applyFill="1" applyBorder="1" applyAlignment="1" applyProtection="1">
      <alignment vertical="center"/>
      <protection hidden="1"/>
    </xf>
    <xf numFmtId="0" fontId="6" fillId="3" borderId="92" xfId="9" applyNumberFormat="1" applyFont="1" applyFill="1" applyBorder="1" applyAlignment="1" applyProtection="1">
      <protection hidden="1"/>
    </xf>
    <xf numFmtId="0" fontId="7" fillId="3" borderId="9" xfId="9" applyFont="1" applyFill="1" applyBorder="1" applyAlignment="1" applyProtection="1">
      <alignment horizontal="center" vertical="top" wrapText="1"/>
      <protection hidden="1"/>
    </xf>
    <xf numFmtId="0" fontId="7" fillId="3" borderId="0" xfId="9" applyFont="1" applyFill="1" applyBorder="1" applyAlignment="1" applyProtection="1">
      <alignment horizontal="center" vertical="top" wrapText="1"/>
      <protection hidden="1"/>
    </xf>
    <xf numFmtId="180" fontId="7" fillId="3" borderId="95" xfId="9" applyNumberFormat="1" applyFont="1" applyFill="1" applyBorder="1" applyAlignment="1" applyProtection="1">
      <alignment vertical="center"/>
      <protection hidden="1"/>
    </xf>
    <xf numFmtId="180" fontId="7" fillId="9" borderId="40" xfId="9" applyNumberFormat="1" applyFont="1" applyFill="1" applyBorder="1" applyAlignment="1" applyProtection="1">
      <alignment vertical="center"/>
      <protection hidden="1"/>
    </xf>
    <xf numFmtId="0" fontId="6" fillId="9" borderId="40" xfId="9" applyNumberFormat="1" applyFont="1" applyFill="1" applyBorder="1" applyAlignment="1" applyProtection="1">
      <protection hidden="1"/>
    </xf>
    <xf numFmtId="180" fontId="7" fillId="9" borderId="44" xfId="9" applyNumberFormat="1" applyFont="1" applyFill="1" applyBorder="1" applyAlignment="1" applyProtection="1">
      <alignment vertical="center"/>
      <protection hidden="1"/>
    </xf>
    <xf numFmtId="0" fontId="7" fillId="3" borderId="6" xfId="9" applyFont="1" applyFill="1" applyBorder="1" applyAlignment="1" applyProtection="1">
      <alignment horizontal="center" vertical="center"/>
      <protection hidden="1"/>
    </xf>
    <xf numFmtId="0" fontId="7" fillId="3" borderId="12" xfId="9" applyFont="1" applyFill="1" applyBorder="1" applyAlignment="1" applyProtection="1">
      <alignment horizontal="center" vertical="center"/>
      <protection hidden="1"/>
    </xf>
    <xf numFmtId="172" fontId="7" fillId="2" borderId="6" xfId="0" applyNumberFormat="1" applyFont="1" applyFill="1" applyBorder="1" applyAlignment="1" applyProtection="1">
      <alignment horizontal="center" vertical="top"/>
      <protection hidden="1"/>
    </xf>
    <xf numFmtId="172" fontId="7" fillId="2" borderId="12" xfId="0" applyNumberFormat="1" applyFont="1" applyFill="1" applyBorder="1" applyAlignment="1" applyProtection="1">
      <alignment horizontal="center" vertical="top"/>
      <protection hidden="1"/>
    </xf>
    <xf numFmtId="172" fontId="7" fillId="2" borderId="27" xfId="0" applyNumberFormat="1" applyFont="1" applyFill="1" applyBorder="1" applyAlignment="1" applyProtection="1">
      <alignment horizontal="center" vertical="top"/>
      <protection hidden="1"/>
    </xf>
    <xf numFmtId="172" fontId="7" fillId="2" borderId="38" xfId="0" applyNumberFormat="1" applyFont="1" applyFill="1" applyBorder="1" applyAlignment="1" applyProtection="1">
      <alignment horizontal="center" vertical="top"/>
      <protection hidden="1"/>
    </xf>
    <xf numFmtId="180" fontId="7" fillId="9" borderId="39" xfId="9" applyNumberFormat="1" applyFont="1" applyFill="1" applyBorder="1" applyAlignment="1" applyProtection="1">
      <alignment vertical="center"/>
      <protection hidden="1"/>
    </xf>
    <xf numFmtId="180" fontId="7" fillId="9" borderId="43" xfId="9" applyNumberFormat="1" applyFont="1" applyFill="1" applyBorder="1" applyAlignment="1" applyProtection="1">
      <alignment vertical="center"/>
      <protection hidden="1"/>
    </xf>
    <xf numFmtId="0" fontId="6" fillId="9" borderId="30" xfId="9" applyNumberFormat="1" applyFont="1" applyFill="1" applyBorder="1" applyAlignment="1" applyProtection="1">
      <protection hidden="1"/>
    </xf>
    <xf numFmtId="0" fontId="6" fillId="9" borderId="43" xfId="9" applyNumberFormat="1" applyFont="1" applyFill="1" applyBorder="1" applyAlignment="1" applyProtection="1">
      <protection hidden="1"/>
    </xf>
    <xf numFmtId="180" fontId="7" fillId="9" borderId="71" xfId="9" applyNumberFormat="1" applyFont="1" applyFill="1" applyBorder="1" applyAlignment="1" applyProtection="1">
      <alignment vertical="center"/>
      <protection hidden="1"/>
    </xf>
    <xf numFmtId="180" fontId="7" fillId="9" borderId="96" xfId="9" applyNumberFormat="1" applyFont="1" applyFill="1" applyBorder="1" applyAlignment="1" applyProtection="1">
      <alignment vertical="center"/>
      <protection hidden="1"/>
    </xf>
    <xf numFmtId="0" fontId="7" fillId="3" borderId="6" xfId="9" applyFont="1" applyFill="1" applyBorder="1" applyAlignment="1" applyProtection="1">
      <alignment horizontal="center" vertical="top"/>
      <protection hidden="1"/>
    </xf>
    <xf numFmtId="0" fontId="7" fillId="3" borderId="7" xfId="9" applyFont="1" applyFill="1" applyBorder="1" applyAlignment="1" applyProtection="1">
      <alignment horizontal="center" vertical="top"/>
      <protection hidden="1"/>
    </xf>
    <xf numFmtId="0" fontId="7" fillId="3" borderId="12" xfId="9" applyFont="1" applyFill="1" applyBorder="1" applyAlignment="1" applyProtection="1">
      <alignment horizontal="center" vertical="top" wrapText="1"/>
      <protection hidden="1"/>
    </xf>
    <xf numFmtId="0" fontId="7" fillId="3" borderId="0" xfId="9" applyFont="1" applyFill="1" applyBorder="1" applyAlignment="1" applyProtection="1">
      <alignment horizontal="center" vertical="center"/>
      <protection hidden="1"/>
    </xf>
    <xf numFmtId="172" fontId="7" fillId="2" borderId="0" xfId="0" applyNumberFormat="1" applyFont="1" applyFill="1" applyBorder="1" applyAlignment="1" applyProtection="1">
      <alignment horizontal="center" vertical="top"/>
      <protection hidden="1"/>
    </xf>
    <xf numFmtId="180" fontId="7" fillId="9" borderId="65" xfId="9" applyNumberFormat="1" applyFont="1" applyFill="1" applyBorder="1" applyAlignment="1" applyProtection="1">
      <alignment vertical="center"/>
      <protection hidden="1"/>
    </xf>
    <xf numFmtId="0" fontId="6" fillId="9" borderId="65" xfId="9" applyNumberFormat="1" applyFont="1" applyFill="1" applyBorder="1" applyAlignment="1" applyProtection="1">
      <protection hidden="1"/>
    </xf>
    <xf numFmtId="0" fontId="6" fillId="3" borderId="12" xfId="9" applyFont="1" applyFill="1" applyBorder="1" applyAlignment="1" applyProtection="1">
      <protection hidden="1"/>
    </xf>
    <xf numFmtId="0" fontId="7" fillId="3" borderId="12" xfId="9" applyFont="1" applyFill="1" applyBorder="1" applyAlignment="1" applyProtection="1">
      <alignment horizontal="left" vertical="center" indent="1"/>
      <protection hidden="1"/>
    </xf>
    <xf numFmtId="0" fontId="6" fillId="3" borderId="12" xfId="9" applyFont="1" applyFill="1" applyBorder="1" applyProtection="1">
      <protection hidden="1"/>
    </xf>
    <xf numFmtId="0" fontId="6" fillId="2" borderId="12" xfId="0" applyFont="1" applyFill="1" applyBorder="1" applyAlignment="1" applyProtection="1">
      <alignment horizontal="left" vertical="center" indent="2"/>
      <protection hidden="1"/>
    </xf>
    <xf numFmtId="0" fontId="7" fillId="2" borderId="12" xfId="0" applyFont="1" applyFill="1" applyBorder="1" applyAlignment="1" applyProtection="1">
      <alignment horizontal="left" vertical="center" indent="2"/>
      <protection hidden="1"/>
    </xf>
    <xf numFmtId="0" fontId="7" fillId="2" borderId="96" xfId="0" applyFont="1" applyFill="1" applyBorder="1" applyAlignment="1" applyProtection="1">
      <alignment horizontal="left" vertical="center" indent="1"/>
      <protection hidden="1"/>
    </xf>
    <xf numFmtId="0" fontId="7" fillId="2" borderId="38" xfId="0" applyFont="1" applyFill="1" applyBorder="1" applyAlignment="1" applyProtection="1">
      <alignment horizontal="left" vertical="center" indent="2"/>
      <protection hidden="1"/>
    </xf>
    <xf numFmtId="0" fontId="7" fillId="3" borderId="18" xfId="9" applyFont="1" applyFill="1" applyBorder="1" applyAlignment="1" applyProtection="1">
      <alignment horizontal="left" vertical="center" indent="1"/>
      <protection hidden="1"/>
    </xf>
    <xf numFmtId="0" fontId="7" fillId="3" borderId="11" xfId="9" applyFont="1" applyFill="1" applyBorder="1" applyAlignment="1" applyProtection="1">
      <alignment horizontal="center" vertical="center" wrapText="1"/>
      <protection hidden="1"/>
    </xf>
    <xf numFmtId="0" fontId="6" fillId="3" borderId="18" xfId="9" applyFont="1" applyFill="1" applyBorder="1" applyProtection="1">
      <protection hidden="1"/>
    </xf>
    <xf numFmtId="172" fontId="7" fillId="2" borderId="64" xfId="0" quotePrefix="1" applyNumberFormat="1" applyFont="1" applyFill="1" applyBorder="1" applyAlignment="1" applyProtection="1">
      <alignment horizontal="center" vertical="center"/>
      <protection hidden="1"/>
    </xf>
    <xf numFmtId="172" fontId="7" fillId="2" borderId="15" xfId="0" quotePrefix="1" applyNumberFormat="1" applyFont="1" applyFill="1" applyBorder="1" applyAlignment="1" applyProtection="1">
      <alignment horizontal="center" vertical="center"/>
      <protection hidden="1"/>
    </xf>
    <xf numFmtId="172" fontId="7" fillId="2" borderId="13" xfId="0" quotePrefix="1" applyNumberFormat="1" applyFont="1" applyFill="1" applyBorder="1" applyAlignment="1" applyProtection="1">
      <alignment horizontal="center" vertical="center"/>
      <protection hidden="1"/>
    </xf>
    <xf numFmtId="172" fontId="7" fillId="2" borderId="14" xfId="0" quotePrefix="1" applyNumberFormat="1" applyFont="1" applyFill="1" applyBorder="1" applyAlignment="1" applyProtection="1">
      <alignment horizontal="center" vertical="center"/>
      <protection hidden="1"/>
    </xf>
    <xf numFmtId="172" fontId="7" fillId="2" borderId="18" xfId="0" quotePrefix="1" applyNumberFormat="1" applyFont="1" applyFill="1" applyBorder="1" applyAlignment="1" applyProtection="1">
      <alignment horizontal="center" vertical="center"/>
      <protection hidden="1"/>
    </xf>
    <xf numFmtId="172" fontId="7" fillId="2" borderId="72" xfId="0" quotePrefix="1" applyNumberFormat="1" applyFont="1" applyFill="1" applyBorder="1" applyAlignment="1" applyProtection="1">
      <alignment horizontal="center" vertical="center"/>
      <protection hidden="1"/>
    </xf>
    <xf numFmtId="172" fontId="7" fillId="2" borderId="16" xfId="0" quotePrefix="1" applyNumberFormat="1" applyFont="1" applyFill="1" applyBorder="1" applyAlignment="1" applyProtection="1">
      <alignment horizontal="center" vertical="center"/>
      <protection hidden="1"/>
    </xf>
    <xf numFmtId="172" fontId="7" fillId="2" borderId="17" xfId="0" quotePrefix="1" applyNumberFormat="1" applyFont="1" applyFill="1" applyBorder="1" applyAlignment="1" applyProtection="1">
      <alignment horizontal="center" vertical="center"/>
      <protection hidden="1"/>
    </xf>
    <xf numFmtId="0" fontId="6" fillId="3" borderId="10" xfId="9" applyFont="1" applyFill="1" applyBorder="1" applyAlignment="1" applyProtection="1">
      <protection hidden="1"/>
    </xf>
    <xf numFmtId="0" fontId="7" fillId="2" borderId="36" xfId="0" applyFont="1" applyFill="1" applyBorder="1" applyAlignment="1" applyProtection="1">
      <alignment horizontal="left" vertical="center" indent="2"/>
      <protection hidden="1"/>
    </xf>
    <xf numFmtId="0" fontId="6" fillId="2" borderId="39" xfId="0" applyFont="1" applyFill="1" applyBorder="1" applyAlignment="1" applyProtection="1">
      <alignment horizontal="left" vertical="center" indent="1"/>
      <protection hidden="1"/>
    </xf>
    <xf numFmtId="0" fontId="7" fillId="3" borderId="10" xfId="9" applyFont="1" applyFill="1" applyBorder="1" applyAlignment="1" applyProtection="1">
      <alignment horizontal="center" vertical="center"/>
      <protection hidden="1"/>
    </xf>
    <xf numFmtId="172" fontId="7" fillId="2" borderId="10" xfId="0" applyNumberFormat="1" applyFont="1" applyFill="1" applyBorder="1" applyAlignment="1" applyProtection="1">
      <alignment horizontal="center" vertical="top"/>
      <protection hidden="1"/>
    </xf>
    <xf numFmtId="180" fontId="7" fillId="9" borderId="3" xfId="9" applyNumberFormat="1" applyFont="1" applyFill="1" applyBorder="1" applyAlignment="1" applyProtection="1">
      <alignment vertical="center"/>
      <protection hidden="1"/>
    </xf>
    <xf numFmtId="0" fontId="7" fillId="3" borderId="10" xfId="9" applyFont="1" applyFill="1" applyBorder="1" applyAlignment="1" applyProtection="1">
      <alignment horizontal="center" vertical="top" wrapText="1"/>
      <protection hidden="1"/>
    </xf>
    <xf numFmtId="180" fontId="7" fillId="3" borderId="97" xfId="9" applyNumberFormat="1" applyFont="1" applyFill="1" applyBorder="1" applyAlignment="1" applyProtection="1">
      <alignment vertical="center"/>
      <protection hidden="1"/>
    </xf>
    <xf numFmtId="180" fontId="7" fillId="3" borderId="35" xfId="9" applyNumberFormat="1" applyFont="1" applyFill="1" applyBorder="1" applyAlignment="1" applyProtection="1">
      <alignment vertical="center"/>
      <protection hidden="1"/>
    </xf>
    <xf numFmtId="180" fontId="7" fillId="9" borderId="45" xfId="9" applyNumberFormat="1" applyFont="1" applyFill="1" applyBorder="1" applyAlignment="1" applyProtection="1">
      <alignment vertical="center"/>
      <protection hidden="1"/>
    </xf>
    <xf numFmtId="180" fontId="7" fillId="2" borderId="43" xfId="9" applyNumberFormat="1" applyFont="1" applyFill="1" applyBorder="1" applyAlignment="1" applyProtection="1">
      <alignment vertical="center"/>
      <protection hidden="1"/>
    </xf>
    <xf numFmtId="180" fontId="7" fillId="2" borderId="98" xfId="9" applyNumberFormat="1" applyFont="1" applyFill="1" applyBorder="1" applyAlignment="1" applyProtection="1">
      <alignment vertical="center"/>
      <protection hidden="1"/>
    </xf>
    <xf numFmtId="180" fontId="7" fillId="9" borderId="99" xfId="9" applyNumberFormat="1" applyFont="1" applyFill="1" applyBorder="1" applyAlignment="1" applyProtection="1">
      <alignment vertical="center"/>
      <protection hidden="1"/>
    </xf>
    <xf numFmtId="180" fontId="7" fillId="9" borderId="94" xfId="9" applyNumberFormat="1" applyFont="1" applyFill="1" applyBorder="1" applyAlignment="1" applyProtection="1">
      <alignment vertical="center"/>
      <protection hidden="1"/>
    </xf>
    <xf numFmtId="180" fontId="7" fillId="9" borderId="93" xfId="9" applyNumberFormat="1" applyFont="1" applyFill="1" applyBorder="1" applyAlignment="1" applyProtection="1">
      <alignment vertical="center"/>
      <protection hidden="1"/>
    </xf>
    <xf numFmtId="180" fontId="6" fillId="0" borderId="65" xfId="9" applyNumberFormat="1" applyFont="1" applyFill="1" applyBorder="1" applyAlignment="1" applyProtection="1">
      <alignment vertical="center"/>
      <protection locked="0"/>
    </xf>
    <xf numFmtId="180" fontId="6" fillId="0" borderId="71" xfId="9" applyNumberFormat="1" applyFont="1" applyFill="1" applyBorder="1" applyAlignment="1" applyProtection="1">
      <alignment vertical="center"/>
      <protection locked="0"/>
    </xf>
    <xf numFmtId="180" fontId="6" fillId="0" borderId="5" xfId="9" applyNumberFormat="1" applyFont="1" applyFill="1" applyBorder="1" applyAlignment="1" applyProtection="1">
      <alignment vertical="center"/>
      <protection locked="0"/>
    </xf>
    <xf numFmtId="180" fontId="6" fillId="0" borderId="1" xfId="9" applyNumberFormat="1" applyFont="1" applyFill="1" applyBorder="1" applyAlignment="1" applyProtection="1">
      <alignment vertical="center"/>
      <protection locked="0"/>
    </xf>
    <xf numFmtId="180" fontId="6" fillId="0" borderId="45" xfId="0" applyNumberFormat="1" applyFont="1" applyFill="1" applyBorder="1" applyAlignment="1" applyProtection="1">
      <alignment vertical="center"/>
      <protection locked="0"/>
    </xf>
    <xf numFmtId="180" fontId="7" fillId="9" borderId="55" xfId="9" applyNumberFormat="1" applyFont="1" applyFill="1" applyBorder="1" applyAlignment="1" applyProtection="1">
      <alignment vertical="center"/>
      <protection hidden="1"/>
    </xf>
    <xf numFmtId="180" fontId="7" fillId="9" borderId="49" xfId="9" applyNumberFormat="1" applyFont="1" applyFill="1" applyBorder="1" applyAlignment="1" applyProtection="1">
      <alignment vertical="center"/>
      <protection hidden="1"/>
    </xf>
    <xf numFmtId="180" fontId="7" fillId="9" borderId="54" xfId="9" applyNumberFormat="1" applyFont="1" applyFill="1" applyBorder="1" applyAlignment="1" applyProtection="1">
      <alignment vertical="center"/>
      <protection hidden="1"/>
    </xf>
    <xf numFmtId="180" fontId="7" fillId="9" borderId="52" xfId="9" applyNumberFormat="1" applyFont="1" applyFill="1" applyBorder="1" applyAlignment="1" applyProtection="1">
      <alignment vertical="center"/>
      <protection hidden="1"/>
    </xf>
    <xf numFmtId="180" fontId="7" fillId="9" borderId="51" xfId="9" applyNumberFormat="1" applyFont="1" applyFill="1" applyBorder="1" applyAlignment="1" applyProtection="1">
      <alignment vertical="center"/>
      <protection hidden="1"/>
    </xf>
    <xf numFmtId="180" fontId="7" fillId="9" borderId="53" xfId="9" applyNumberFormat="1" applyFont="1" applyFill="1" applyBorder="1" applyAlignment="1" applyProtection="1">
      <alignment vertical="center"/>
      <protection hidden="1"/>
    </xf>
    <xf numFmtId="180" fontId="6" fillId="0" borderId="30" xfId="9" applyNumberFormat="1" applyFont="1" applyFill="1" applyBorder="1" applyAlignment="1" applyProtection="1">
      <alignment vertical="center"/>
      <protection locked="0"/>
    </xf>
    <xf numFmtId="180" fontId="6" fillId="0" borderId="31" xfId="9" applyNumberFormat="1" applyFont="1" applyFill="1" applyBorder="1" applyAlignment="1" applyProtection="1">
      <alignment vertical="center"/>
      <protection locked="0"/>
    </xf>
    <xf numFmtId="180" fontId="6" fillId="0" borderId="43" xfId="9" applyNumberFormat="1" applyFont="1" applyFill="1" applyBorder="1" applyAlignment="1" applyProtection="1">
      <alignment vertical="center"/>
      <protection locked="0"/>
    </xf>
    <xf numFmtId="180" fontId="6" fillId="0" borderId="39" xfId="9" applyNumberFormat="1" applyFont="1" applyFill="1" applyBorder="1" applyAlignment="1" applyProtection="1">
      <alignment vertical="center"/>
      <protection locked="0"/>
    </xf>
    <xf numFmtId="180" fontId="6" fillId="0" borderId="10" xfId="9" applyNumberFormat="1" applyFont="1" applyFill="1" applyBorder="1" applyAlignment="1" applyProtection="1">
      <alignment vertical="center"/>
      <protection locked="0"/>
    </xf>
    <xf numFmtId="180" fontId="6" fillId="0" borderId="27" xfId="9" applyNumberFormat="1" applyFont="1" applyFill="1" applyBorder="1" applyAlignment="1" applyProtection="1">
      <alignment vertical="center"/>
      <protection locked="0"/>
    </xf>
    <xf numFmtId="180" fontId="6" fillId="0" borderId="28" xfId="9" applyNumberFormat="1" applyFont="1" applyFill="1" applyBorder="1" applyAlignment="1" applyProtection="1">
      <alignment vertical="center"/>
      <protection locked="0"/>
    </xf>
    <xf numFmtId="180" fontId="6" fillId="0" borderId="0" xfId="9" applyNumberFormat="1" applyFont="1" applyFill="1" applyBorder="1" applyAlignment="1" applyProtection="1">
      <alignment vertical="center"/>
      <protection locked="0"/>
    </xf>
    <xf numFmtId="180" fontId="6" fillId="0" borderId="6" xfId="9" applyNumberFormat="1" applyFont="1" applyFill="1" applyBorder="1" applyAlignment="1" applyProtection="1">
      <alignment vertical="center"/>
      <protection locked="0"/>
    </xf>
    <xf numFmtId="180" fontId="6" fillId="0" borderId="7" xfId="9" applyNumberFormat="1" applyFont="1" applyFill="1" applyBorder="1" applyAlignment="1" applyProtection="1">
      <alignment vertical="center"/>
      <protection locked="0"/>
    </xf>
    <xf numFmtId="180" fontId="7" fillId="9" borderId="63" xfId="9" applyNumberFormat="1" applyFont="1" applyFill="1" applyBorder="1" applyAlignment="1" applyProtection="1">
      <alignment vertical="center"/>
      <protection hidden="1"/>
    </xf>
    <xf numFmtId="180" fontId="7" fillId="2" borderId="53" xfId="0" applyNumberFormat="1" applyFont="1" applyFill="1" applyBorder="1" applyAlignment="1" applyProtection="1">
      <alignment vertical="center"/>
      <protection hidden="1"/>
    </xf>
    <xf numFmtId="180" fontId="6" fillId="0" borderId="35" xfId="9" applyNumberFormat="1" applyFont="1" applyFill="1" applyBorder="1" applyAlignment="1" applyProtection="1">
      <alignment vertical="center"/>
      <protection locked="0"/>
    </xf>
    <xf numFmtId="180" fontId="6" fillId="0" borderId="11" xfId="9" applyNumberFormat="1" applyFont="1" applyFill="1" applyBorder="1" applyAlignment="1" applyProtection="1">
      <alignment vertical="center"/>
      <protection locked="0"/>
    </xf>
    <xf numFmtId="180" fontId="6" fillId="0" borderId="45" xfId="9" applyNumberFormat="1" applyFont="1" applyFill="1" applyBorder="1" applyAlignment="1" applyProtection="1">
      <alignment vertical="center"/>
      <protection locked="0"/>
    </xf>
    <xf numFmtId="0" fontId="7" fillId="2" borderId="15" xfId="0" applyFont="1" applyFill="1" applyBorder="1" applyAlignment="1" applyProtection="1">
      <alignment horizontal="center" vertical="top" wrapText="1"/>
      <protection hidden="1"/>
    </xf>
    <xf numFmtId="0" fontId="7" fillId="2" borderId="72" xfId="0" applyFont="1" applyFill="1" applyBorder="1" applyAlignment="1" applyProtection="1">
      <alignment horizontal="center" vertical="top" wrapText="1"/>
      <protection hidden="1"/>
    </xf>
    <xf numFmtId="0" fontId="6" fillId="9" borderId="16" xfId="9" applyFont="1" applyFill="1" applyBorder="1" applyProtection="1">
      <protection hidden="1"/>
    </xf>
    <xf numFmtId="0" fontId="6" fillId="2" borderId="65" xfId="0" applyFont="1" applyFill="1" applyBorder="1" applyAlignment="1" applyProtection="1">
      <alignment horizontal="center" vertical="center"/>
      <protection hidden="1"/>
    </xf>
    <xf numFmtId="2" fontId="6" fillId="2" borderId="65" xfId="0" quotePrefix="1" applyNumberFormat="1" applyFont="1" applyFill="1" applyBorder="1" applyAlignment="1" applyProtection="1">
      <alignment horizontal="center" vertical="center"/>
      <protection hidden="1"/>
    </xf>
    <xf numFmtId="0" fontId="6" fillId="2" borderId="36" xfId="0" applyFont="1" applyFill="1" applyBorder="1" applyAlignment="1" applyProtection="1">
      <alignment horizontal="center" vertical="center"/>
      <protection hidden="1"/>
    </xf>
    <xf numFmtId="0" fontId="6" fillId="2" borderId="60" xfId="0" applyFont="1" applyFill="1" applyBorder="1" applyAlignment="1" applyProtection="1">
      <alignment horizontal="center" vertical="center"/>
      <protection hidden="1"/>
    </xf>
    <xf numFmtId="2" fontId="6" fillId="2" borderId="11" xfId="0" applyNumberFormat="1"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14" xfId="0" applyFont="1" applyFill="1" applyBorder="1" applyAlignment="1" applyProtection="1">
      <alignment horizontal="center" vertical="center"/>
      <protection hidden="1"/>
    </xf>
    <xf numFmtId="2" fontId="6" fillId="2" borderId="64" xfId="0" quotePrefix="1" applyNumberFormat="1" applyFont="1" applyFill="1" applyBorder="1" applyAlignment="1" applyProtection="1">
      <alignment horizontal="center" vertical="center"/>
      <protection hidden="1"/>
    </xf>
    <xf numFmtId="2" fontId="6" fillId="2" borderId="17" xfId="0" applyNumberFormat="1" applyFont="1" applyFill="1" applyBorder="1" applyAlignment="1" applyProtection="1">
      <alignment horizontal="center" vertical="center"/>
      <protection hidden="1"/>
    </xf>
    <xf numFmtId="0" fontId="7" fillId="2" borderId="83" xfId="0" applyFont="1" applyFill="1" applyBorder="1" applyAlignment="1" applyProtection="1">
      <alignment horizontal="center" vertical="top" wrapText="1"/>
      <protection hidden="1"/>
    </xf>
    <xf numFmtId="0" fontId="7" fillId="2" borderId="84" xfId="0" applyFont="1" applyFill="1" applyBorder="1" applyAlignment="1" applyProtection="1">
      <alignment horizontal="center" vertical="top" wrapText="1"/>
      <protection hidden="1"/>
    </xf>
    <xf numFmtId="0" fontId="6" fillId="9" borderId="78" xfId="9" applyFont="1" applyFill="1" applyBorder="1" applyProtection="1">
      <protection hidden="1"/>
    </xf>
    <xf numFmtId="180" fontId="6" fillId="2" borderId="32" xfId="0" applyNumberFormat="1" applyFont="1" applyFill="1" applyBorder="1" applyAlignment="1" applyProtection="1">
      <alignment vertical="center"/>
      <protection hidden="1"/>
    </xf>
    <xf numFmtId="186" fontId="6" fillId="2" borderId="32" xfId="0" quotePrefix="1" applyNumberFormat="1" applyFont="1" applyFill="1" applyBorder="1" applyAlignment="1" applyProtection="1">
      <alignment vertical="center"/>
      <protection hidden="1"/>
    </xf>
    <xf numFmtId="0" fontId="6" fillId="2" borderId="64" xfId="0" applyFont="1" applyFill="1" applyBorder="1" applyAlignment="1" applyProtection="1">
      <protection hidden="1"/>
    </xf>
    <xf numFmtId="0" fontId="6" fillId="9" borderId="37" xfId="9" applyFont="1" applyFill="1" applyBorder="1" applyProtection="1">
      <protection hidden="1"/>
    </xf>
    <xf numFmtId="0" fontId="6" fillId="2" borderId="0" xfId="9" applyFont="1" applyFill="1" applyAlignment="1" applyProtection="1">
      <protection hidden="1"/>
    </xf>
    <xf numFmtId="0" fontId="6" fillId="2" borderId="50" xfId="0" applyFont="1" applyFill="1" applyBorder="1" applyAlignment="1" applyProtection="1">
      <alignment horizontal="center" vertical="center"/>
      <protection hidden="1"/>
    </xf>
    <xf numFmtId="169" fontId="7" fillId="3" borderId="0" xfId="0" applyNumberFormat="1" applyFont="1" applyFill="1" applyBorder="1" applyProtection="1">
      <protection hidden="1"/>
    </xf>
    <xf numFmtId="0" fontId="7" fillId="4" borderId="4" xfId="0" applyFont="1" applyFill="1" applyBorder="1" applyAlignment="1" applyProtection="1">
      <alignment horizontal="center" vertical="top" wrapText="1"/>
      <protection hidden="1"/>
    </xf>
    <xf numFmtId="0" fontId="7" fillId="4" borderId="8" xfId="0" applyFont="1" applyFill="1" applyBorder="1" applyAlignment="1" applyProtection="1">
      <alignment horizontal="center" vertical="top" wrapText="1"/>
      <protection hidden="1"/>
    </xf>
    <xf numFmtId="0" fontId="7" fillId="5" borderId="65" xfId="0" applyNumberFormat="1" applyFont="1" applyFill="1" applyBorder="1" applyAlignment="1" applyProtection="1">
      <protection hidden="1"/>
    </xf>
    <xf numFmtId="0" fontId="7" fillId="5" borderId="65" xfId="0" applyFont="1" applyFill="1" applyBorder="1" applyAlignment="1" applyProtection="1">
      <alignment horizontal="center" vertical="center" wrapText="1"/>
      <protection hidden="1"/>
    </xf>
    <xf numFmtId="0" fontId="6" fillId="5" borderId="1" xfId="0" applyFont="1" applyFill="1" applyBorder="1" applyAlignment="1" applyProtection="1">
      <alignment vertical="center"/>
      <protection hidden="1"/>
    </xf>
    <xf numFmtId="0" fontId="6" fillId="0" borderId="0" xfId="0" applyFont="1" applyFill="1" applyAlignment="1" applyProtection="1">
      <alignment vertical="center"/>
      <protection hidden="1"/>
    </xf>
    <xf numFmtId="0" fontId="7" fillId="5" borderId="0" xfId="0" applyNumberFormat="1" applyFont="1" applyFill="1" applyBorder="1" applyAlignment="1" applyProtection="1">
      <protection hidden="1"/>
    </xf>
    <xf numFmtId="0" fontId="7" fillId="5" borderId="2" xfId="0" applyFont="1" applyFill="1" applyBorder="1" applyAlignment="1" applyProtection="1">
      <alignment horizontal="right" indent="1"/>
      <protection hidden="1"/>
    </xf>
    <xf numFmtId="0" fontId="6" fillId="5" borderId="2" xfId="0" applyFont="1" applyFill="1" applyBorder="1" applyAlignment="1" applyProtection="1">
      <protection hidden="1"/>
    </xf>
    <xf numFmtId="0" fontId="14" fillId="4" borderId="64" xfId="0" applyFont="1" applyFill="1" applyBorder="1" applyAlignment="1" applyProtection="1">
      <alignment horizontal="center" vertical="center"/>
      <protection hidden="1"/>
    </xf>
    <xf numFmtId="172" fontId="7" fillId="5" borderId="29" xfId="0" quotePrefix="1" applyNumberFormat="1" applyFont="1" applyFill="1" applyBorder="1" applyAlignment="1" applyProtection="1">
      <alignment horizontal="center" vertical="center"/>
      <protection hidden="1"/>
    </xf>
    <xf numFmtId="178" fontId="6" fillId="5" borderId="86" xfId="0" applyNumberFormat="1" applyFont="1" applyFill="1" applyBorder="1" applyAlignment="1" applyProtection="1">
      <alignment vertical="center"/>
      <protection locked="0"/>
    </xf>
    <xf numFmtId="180" fontId="17" fillId="5" borderId="87" xfId="0" applyNumberFormat="1" applyFont="1" applyFill="1" applyBorder="1" applyAlignment="1" applyProtection="1">
      <alignment vertical="center"/>
      <protection hidden="1"/>
    </xf>
    <xf numFmtId="180" fontId="6" fillId="0" borderId="0" xfId="0" applyNumberFormat="1" applyFont="1" applyFill="1" applyAlignment="1" applyProtection="1">
      <alignment vertical="center"/>
      <protection hidden="1"/>
    </xf>
    <xf numFmtId="178" fontId="6" fillId="5" borderId="88" xfId="0" applyNumberFormat="1" applyFont="1" applyFill="1" applyBorder="1" applyAlignment="1" applyProtection="1">
      <alignment vertical="center"/>
      <protection locked="0"/>
    </xf>
    <xf numFmtId="180" fontId="17" fillId="5" borderId="89" xfId="0" applyNumberFormat="1" applyFont="1" applyFill="1" applyBorder="1" applyAlignment="1" applyProtection="1">
      <alignment vertical="center"/>
      <protection hidden="1"/>
    </xf>
    <xf numFmtId="178" fontId="6" fillId="5" borderId="90" xfId="0" applyNumberFormat="1" applyFont="1" applyFill="1" applyBorder="1" applyAlignment="1" applyProtection="1">
      <alignment vertical="center"/>
      <protection locked="0"/>
    </xf>
    <xf numFmtId="180" fontId="17" fillId="5" borderId="91" xfId="0" applyNumberFormat="1" applyFont="1" applyFill="1" applyBorder="1" applyAlignment="1" applyProtection="1">
      <alignment vertical="center"/>
      <protection hidden="1"/>
    </xf>
    <xf numFmtId="178" fontId="6" fillId="5" borderId="0" xfId="0" applyNumberFormat="1" applyFont="1" applyFill="1" applyBorder="1" applyAlignment="1" applyProtection="1">
      <alignment vertical="center"/>
      <protection hidden="1"/>
    </xf>
    <xf numFmtId="180" fontId="17" fillId="5" borderId="0" xfId="0" applyNumberFormat="1" applyFont="1" applyFill="1" applyBorder="1" applyAlignment="1" applyProtection="1">
      <alignment vertical="center"/>
      <protection hidden="1"/>
    </xf>
    <xf numFmtId="0" fontId="6" fillId="9" borderId="9" xfId="0" applyFont="1" applyFill="1" applyBorder="1" applyProtection="1">
      <protection hidden="1"/>
    </xf>
    <xf numFmtId="0" fontId="6" fillId="5" borderId="0" xfId="0" applyNumberFormat="1" applyFont="1" applyFill="1" applyBorder="1" applyAlignment="1" applyProtection="1">
      <protection hidden="1"/>
    </xf>
    <xf numFmtId="0" fontId="6" fillId="5" borderId="2" xfId="0" applyNumberFormat="1" applyFont="1" applyFill="1" applyBorder="1" applyAlignment="1" applyProtection="1">
      <protection hidden="1"/>
    </xf>
    <xf numFmtId="0" fontId="6" fillId="5" borderId="21" xfId="0" applyFont="1" applyFill="1" applyBorder="1" applyAlignment="1" applyProtection="1">
      <protection hidden="1"/>
    </xf>
    <xf numFmtId="0" fontId="6" fillId="5" borderId="58" xfId="0" applyNumberFormat="1" applyFont="1" applyFill="1" applyBorder="1" applyAlignment="1" applyProtection="1">
      <protection hidden="1"/>
    </xf>
    <xf numFmtId="0" fontId="6" fillId="9" borderId="2" xfId="0" applyFont="1" applyFill="1" applyBorder="1" applyAlignment="1" applyProtection="1">
      <alignment vertical="top" wrapText="1"/>
      <protection hidden="1"/>
    </xf>
    <xf numFmtId="0" fontId="19" fillId="5" borderId="10" xfId="0" applyFont="1" applyFill="1" applyBorder="1" applyAlignment="1" applyProtection="1">
      <alignment vertical="center"/>
      <protection hidden="1"/>
    </xf>
    <xf numFmtId="178" fontId="5" fillId="0" borderId="87" xfId="0" applyNumberFormat="1" applyFont="1" applyFill="1" applyBorder="1" applyAlignment="1" applyProtection="1">
      <alignment vertical="center"/>
      <protection locked="0"/>
    </xf>
    <xf numFmtId="0" fontId="6" fillId="9" borderId="2" xfId="0" applyFont="1" applyFill="1" applyBorder="1" applyProtection="1">
      <protection hidden="1"/>
    </xf>
    <xf numFmtId="178" fontId="5" fillId="0" borderId="89" xfId="0" applyNumberFormat="1" applyFont="1" applyFill="1" applyBorder="1" applyAlignment="1" applyProtection="1">
      <alignment vertical="center"/>
      <protection locked="0"/>
    </xf>
    <xf numFmtId="0" fontId="7" fillId="9" borderId="39" xfId="0" applyFont="1" applyFill="1" applyBorder="1" applyAlignment="1" applyProtection="1">
      <alignment horizontal="left" vertical="center" indent="1"/>
      <protection hidden="1"/>
    </xf>
    <xf numFmtId="0" fontId="6" fillId="9" borderId="50" xfId="0" applyFont="1" applyFill="1" applyBorder="1" applyProtection="1">
      <protection hidden="1"/>
    </xf>
    <xf numFmtId="178" fontId="7" fillId="5" borderId="33" xfId="0" applyNumberFormat="1" applyFont="1" applyFill="1" applyBorder="1" applyAlignment="1" applyProtection="1">
      <alignment vertical="center"/>
      <protection hidden="1"/>
    </xf>
    <xf numFmtId="0" fontId="7" fillId="9" borderId="34" xfId="0" applyFont="1" applyFill="1" applyBorder="1" applyAlignment="1" applyProtection="1">
      <alignment horizontal="left" vertical="center" indent="1"/>
      <protection hidden="1"/>
    </xf>
    <xf numFmtId="0" fontId="6" fillId="9" borderId="64" xfId="0" applyFont="1" applyFill="1" applyBorder="1" applyProtection="1">
      <protection hidden="1"/>
    </xf>
    <xf numFmtId="180" fontId="7" fillId="9" borderId="17" xfId="0" applyNumberFormat="1" applyFont="1" applyFill="1" applyBorder="1" applyAlignment="1" applyProtection="1">
      <alignment vertical="center"/>
      <protection hidden="1"/>
    </xf>
    <xf numFmtId="0" fontId="6" fillId="9" borderId="2" xfId="0" applyNumberFormat="1" applyFont="1" applyFill="1" applyBorder="1" applyAlignment="1" applyProtection="1">
      <protection hidden="1"/>
    </xf>
    <xf numFmtId="172" fontId="6" fillId="9" borderId="0" xfId="0" applyNumberFormat="1" applyFont="1" applyFill="1" applyBorder="1" applyProtection="1">
      <protection hidden="1"/>
    </xf>
    <xf numFmtId="172" fontId="7" fillId="5" borderId="7" xfId="0" applyNumberFormat="1" applyFont="1" applyFill="1" applyBorder="1" applyAlignment="1" applyProtection="1">
      <alignment horizontal="center" vertical="top" wrapText="1"/>
      <protection hidden="1"/>
    </xf>
    <xf numFmtId="172" fontId="7" fillId="5" borderId="8" xfId="0" applyNumberFormat="1" applyFont="1" applyFill="1" applyBorder="1" applyAlignment="1" applyProtection="1">
      <alignment horizontal="center" vertical="top" wrapText="1"/>
      <protection hidden="1"/>
    </xf>
    <xf numFmtId="180" fontId="7" fillId="9" borderId="33" xfId="0" applyNumberFormat="1" applyFont="1" applyFill="1" applyBorder="1" applyAlignment="1" applyProtection="1">
      <alignment vertical="center"/>
      <protection hidden="1"/>
    </xf>
    <xf numFmtId="0" fontId="6" fillId="9" borderId="6" xfId="0" applyFont="1" applyFill="1" applyBorder="1" applyAlignment="1" applyProtection="1">
      <alignment vertical="top" wrapText="1"/>
      <protection hidden="1"/>
    </xf>
    <xf numFmtId="0" fontId="6" fillId="0" borderId="0" xfId="0" applyNumberFormat="1" applyFont="1" applyFill="1" applyProtection="1">
      <protection hidden="1"/>
    </xf>
    <xf numFmtId="0" fontId="6" fillId="9" borderId="60" xfId="0" applyFont="1" applyFill="1" applyBorder="1" applyProtection="1">
      <protection hidden="1"/>
    </xf>
    <xf numFmtId="172" fontId="6" fillId="9" borderId="60" xfId="0" applyNumberFormat="1" applyFont="1" applyFill="1" applyBorder="1" applyProtection="1">
      <protection hidden="1"/>
    </xf>
    <xf numFmtId="0" fontId="6" fillId="9" borderId="42" xfId="0" applyFont="1" applyFill="1" applyBorder="1" applyProtection="1">
      <protection hidden="1"/>
    </xf>
    <xf numFmtId="0" fontId="6" fillId="9" borderId="62" xfId="0" applyFont="1" applyFill="1" applyBorder="1" applyProtection="1">
      <protection hidden="1"/>
    </xf>
    <xf numFmtId="0" fontId="7" fillId="3" borderId="11" xfId="9" applyFont="1" applyFill="1" applyBorder="1" applyAlignment="1" applyProtection="1">
      <alignment horizontal="center" vertical="top" wrapText="1"/>
      <protection hidden="1"/>
    </xf>
    <xf numFmtId="0" fontId="7" fillId="2" borderId="64" xfId="0" applyFont="1" applyFill="1" applyBorder="1" applyAlignment="1" applyProtection="1">
      <alignment horizontal="center" vertical="center"/>
      <protection hidden="1"/>
    </xf>
    <xf numFmtId="0" fontId="7" fillId="4" borderId="0" xfId="0" applyFont="1" applyFill="1" applyBorder="1" applyAlignment="1" applyProtection="1">
      <alignment vertical="center"/>
      <protection hidden="1"/>
    </xf>
    <xf numFmtId="0" fontId="7" fillId="3" borderId="9" xfId="0" applyFont="1" applyFill="1" applyBorder="1" applyAlignment="1" applyProtection="1">
      <alignment horizontal="center" vertical="center"/>
      <protection hidden="1"/>
    </xf>
    <xf numFmtId="0" fontId="7" fillId="3" borderId="64" xfId="0" quotePrefix="1" applyFont="1" applyFill="1" applyBorder="1" applyAlignment="1" applyProtection="1">
      <alignment horizontal="center" vertical="center"/>
      <protection hidden="1"/>
    </xf>
    <xf numFmtId="180" fontId="7" fillId="4" borderId="50" xfId="0" applyNumberFormat="1" applyFont="1" applyFill="1" applyBorder="1" applyAlignment="1" applyProtection="1">
      <alignment vertical="center"/>
      <protection hidden="1"/>
    </xf>
    <xf numFmtId="180" fontId="7" fillId="4" borderId="0" xfId="0" applyNumberFormat="1" applyFont="1" applyFill="1" applyBorder="1" applyAlignment="1" applyProtection="1">
      <alignment vertical="center"/>
      <protection hidden="1"/>
    </xf>
    <xf numFmtId="169" fontId="6" fillId="4" borderId="44" xfId="0" applyNumberFormat="1" applyFont="1" applyFill="1" applyBorder="1" applyAlignment="1" applyProtection="1">
      <alignment vertical="center"/>
      <protection hidden="1"/>
    </xf>
    <xf numFmtId="0" fontId="14" fillId="5" borderId="9" xfId="0" applyFont="1" applyFill="1" applyBorder="1" applyAlignment="1" applyProtection="1">
      <alignment horizontal="center" vertical="center"/>
      <protection hidden="1"/>
    </xf>
    <xf numFmtId="169" fontId="6" fillId="4" borderId="40" xfId="0" applyNumberFormat="1" applyFont="1" applyFill="1" applyBorder="1" applyAlignment="1" applyProtection="1">
      <alignment vertical="center"/>
      <protection hidden="1"/>
    </xf>
    <xf numFmtId="0" fontId="13" fillId="4" borderId="2" xfId="0" applyFont="1" applyFill="1" applyBorder="1" applyAlignment="1" applyProtection="1">
      <alignment vertical="top"/>
      <protection hidden="1"/>
    </xf>
    <xf numFmtId="0" fontId="6" fillId="4" borderId="40" xfId="0" applyFont="1" applyFill="1" applyBorder="1" applyAlignment="1" applyProtection="1">
      <alignment vertical="center"/>
      <protection hidden="1"/>
    </xf>
    <xf numFmtId="0" fontId="6" fillId="4" borderId="42" xfId="0" applyFont="1" applyFill="1" applyBorder="1" applyAlignment="1" applyProtection="1">
      <alignment vertical="center"/>
      <protection hidden="1"/>
    </xf>
    <xf numFmtId="0" fontId="6" fillId="4" borderId="60" xfId="0" applyFont="1" applyFill="1" applyBorder="1" applyAlignment="1" applyProtection="1">
      <alignment horizontal="left" indent="2"/>
      <protection hidden="1"/>
    </xf>
    <xf numFmtId="0" fontId="7" fillId="5" borderId="65" xfId="0" applyFont="1" applyFill="1" applyBorder="1" applyAlignment="1" applyProtection="1">
      <alignment vertical="center"/>
      <protection hidden="1"/>
    </xf>
    <xf numFmtId="0" fontId="6" fillId="4" borderId="64" xfId="0" applyFont="1" applyFill="1" applyBorder="1" applyAlignment="1" applyProtection="1">
      <alignment horizontal="left" indent="2"/>
      <protection hidden="1"/>
    </xf>
    <xf numFmtId="0" fontId="6" fillId="4" borderId="58" xfId="0" applyFont="1" applyFill="1" applyBorder="1" applyAlignment="1" applyProtection="1">
      <alignment vertical="center"/>
      <protection hidden="1"/>
    </xf>
    <xf numFmtId="0" fontId="6" fillId="9" borderId="62" xfId="0" applyNumberFormat="1" applyFont="1" applyFill="1" applyBorder="1" applyAlignment="1" applyProtection="1">
      <protection hidden="1"/>
    </xf>
    <xf numFmtId="0" fontId="6" fillId="9" borderId="60" xfId="0" applyNumberFormat="1" applyFont="1" applyFill="1" applyBorder="1" applyAlignment="1" applyProtection="1">
      <protection hidden="1"/>
    </xf>
    <xf numFmtId="0" fontId="6" fillId="9" borderId="42" xfId="0" applyNumberFormat="1" applyFont="1" applyFill="1" applyBorder="1" applyAlignment="1" applyProtection="1">
      <protection hidden="1"/>
    </xf>
    <xf numFmtId="0" fontId="6" fillId="9" borderId="0" xfId="0" applyFont="1" applyFill="1" applyBorder="1" applyAlignment="1" applyProtection="1">
      <protection hidden="1"/>
    </xf>
    <xf numFmtId="0" fontId="6" fillId="9" borderId="1" xfId="0" applyFont="1" applyFill="1" applyBorder="1" applyAlignment="1" applyProtection="1">
      <alignment vertical="center"/>
      <protection hidden="1"/>
    </xf>
    <xf numFmtId="0" fontId="6" fillId="9" borderId="2" xfId="0" applyFont="1" applyFill="1" applyBorder="1" applyAlignment="1" applyProtection="1">
      <protection hidden="1"/>
    </xf>
    <xf numFmtId="172" fontId="7" fillId="5" borderId="0" xfId="0" applyNumberFormat="1" applyFont="1" applyFill="1" applyBorder="1" applyAlignment="1" applyProtection="1">
      <alignment horizontal="center" vertical="center"/>
      <protection hidden="1"/>
    </xf>
    <xf numFmtId="172" fontId="6" fillId="9" borderId="64" xfId="0" applyNumberFormat="1" applyFont="1" applyFill="1" applyBorder="1" applyProtection="1">
      <protection hidden="1"/>
    </xf>
    <xf numFmtId="172" fontId="6" fillId="9" borderId="50" xfId="0" applyNumberFormat="1" applyFont="1" applyFill="1" applyBorder="1" applyProtection="1">
      <protection hidden="1"/>
    </xf>
    <xf numFmtId="178" fontId="6" fillId="0" borderId="32" xfId="0" applyNumberFormat="1" applyFont="1" applyFill="1" applyBorder="1" applyAlignment="1" applyProtection="1">
      <alignment vertical="center"/>
      <protection locked="0"/>
    </xf>
    <xf numFmtId="0" fontId="6" fillId="9" borderId="32" xfId="0" applyFont="1" applyFill="1" applyBorder="1" applyProtection="1">
      <protection hidden="1"/>
    </xf>
    <xf numFmtId="0" fontId="6" fillId="9" borderId="72" xfId="0" applyFont="1" applyFill="1" applyBorder="1" applyProtection="1">
      <protection hidden="1"/>
    </xf>
    <xf numFmtId="172" fontId="7" fillId="5" borderId="72" xfId="0" quotePrefix="1" applyNumberFormat="1" applyFont="1" applyFill="1" applyBorder="1" applyAlignment="1" applyProtection="1">
      <alignment horizontal="center" vertical="center"/>
      <protection hidden="1"/>
    </xf>
    <xf numFmtId="172" fontId="7" fillId="5" borderId="16" xfId="0" quotePrefix="1" applyNumberFormat="1" applyFont="1" applyFill="1" applyBorder="1" applyAlignment="1" applyProtection="1">
      <alignment horizontal="center" vertical="center"/>
      <protection hidden="1"/>
    </xf>
    <xf numFmtId="178" fontId="6" fillId="0" borderId="30" xfId="0" applyNumberFormat="1" applyFont="1" applyFill="1" applyBorder="1" applyAlignment="1" applyProtection="1">
      <alignment vertical="center"/>
      <protection locked="0"/>
    </xf>
    <xf numFmtId="0" fontId="6" fillId="5" borderId="26" xfId="0" applyFont="1" applyFill="1" applyBorder="1" applyAlignment="1" applyProtection="1">
      <protection hidden="1"/>
    </xf>
    <xf numFmtId="0" fontId="7" fillId="5" borderId="12" xfId="0" applyFont="1" applyFill="1" applyBorder="1" applyAlignment="1" applyProtection="1">
      <alignment horizontal="left" vertical="center" indent="1"/>
      <protection hidden="1"/>
    </xf>
    <xf numFmtId="0" fontId="19" fillId="5" borderId="12" xfId="0" applyFont="1" applyFill="1" applyBorder="1" applyAlignment="1" applyProtection="1">
      <alignment vertical="center"/>
      <protection hidden="1"/>
    </xf>
    <xf numFmtId="165" fontId="19" fillId="5" borderId="18" xfId="0" applyNumberFormat="1" applyFont="1" applyFill="1" applyBorder="1" applyAlignment="1" applyProtection="1">
      <protection hidden="1"/>
    </xf>
    <xf numFmtId="0" fontId="6" fillId="0" borderId="43" xfId="0" applyFont="1" applyFill="1" applyBorder="1" applyAlignment="1" applyProtection="1">
      <alignment horizontal="left" vertical="center" wrapText="1" indent="2"/>
      <protection locked="0"/>
    </xf>
    <xf numFmtId="0" fontId="7" fillId="9" borderId="43" xfId="0" applyFont="1" applyFill="1" applyBorder="1" applyAlignment="1" applyProtection="1">
      <alignment horizontal="left" vertical="center" indent="1"/>
      <protection hidden="1"/>
    </xf>
    <xf numFmtId="0" fontId="7" fillId="9" borderId="18" xfId="0" applyFont="1" applyFill="1" applyBorder="1" applyAlignment="1" applyProtection="1">
      <alignment horizontal="left" vertical="center" indent="1"/>
      <protection hidden="1"/>
    </xf>
    <xf numFmtId="172" fontId="7" fillId="5" borderId="0" xfId="0" applyNumberFormat="1" applyFont="1" applyFill="1" applyBorder="1" applyAlignment="1" applyProtection="1">
      <alignment horizontal="center" vertical="top" wrapText="1"/>
      <protection hidden="1"/>
    </xf>
    <xf numFmtId="0" fontId="14" fillId="9" borderId="64" xfId="0" applyFont="1" applyFill="1" applyBorder="1" applyAlignment="1" applyProtection="1">
      <protection hidden="1"/>
    </xf>
    <xf numFmtId="0" fontId="7" fillId="9" borderId="0" xfId="0" applyNumberFormat="1" applyFont="1" applyFill="1" applyBorder="1" applyAlignment="1" applyProtection="1">
      <alignment vertical="center"/>
      <protection hidden="1"/>
    </xf>
    <xf numFmtId="0" fontId="7" fillId="9" borderId="2" xfId="0" applyNumberFormat="1" applyFont="1" applyFill="1" applyBorder="1" applyAlignment="1" applyProtection="1">
      <alignment vertical="center"/>
      <protection hidden="1"/>
    </xf>
    <xf numFmtId="0" fontId="14" fillId="10" borderId="0" xfId="0" applyFont="1" applyFill="1" applyBorder="1" applyAlignment="1" applyProtection="1">
      <alignment horizontal="center" vertical="center"/>
      <protection hidden="1"/>
    </xf>
    <xf numFmtId="0" fontId="7" fillId="0" borderId="31" xfId="0" applyNumberFormat="1" applyFont="1" applyFill="1" applyBorder="1" applyAlignment="1" applyProtection="1">
      <alignment horizontal="left" vertical="center" indent="1"/>
      <protection hidden="1"/>
    </xf>
    <xf numFmtId="0" fontId="6" fillId="0" borderId="43" xfId="5" applyNumberFormat="1" applyFont="1" applyFill="1" applyBorder="1" applyAlignment="1" applyProtection="1">
      <alignment horizontal="left" vertical="center" wrapText="1" indent="1"/>
      <protection locked="0"/>
    </xf>
    <xf numFmtId="0" fontId="6" fillId="0" borderId="38" xfId="5" applyNumberFormat="1" applyFont="1" applyFill="1" applyBorder="1" applyAlignment="1" applyProtection="1">
      <alignment horizontal="left" vertical="center" wrapText="1" indent="1"/>
      <protection locked="0"/>
    </xf>
    <xf numFmtId="172" fontId="7" fillId="5" borderId="11" xfId="0" applyNumberFormat="1" applyFont="1" applyFill="1" applyBorder="1" applyAlignment="1" applyProtection="1">
      <alignment horizontal="center" vertical="center"/>
      <protection hidden="1"/>
    </xf>
    <xf numFmtId="172" fontId="7" fillId="5" borderId="17" xfId="0" quotePrefix="1" applyNumberFormat="1" applyFont="1" applyFill="1" applyBorder="1" applyAlignment="1" applyProtection="1">
      <alignment horizontal="center" vertical="center"/>
      <protection hidden="1"/>
    </xf>
    <xf numFmtId="178" fontId="5" fillId="0" borderId="11" xfId="0" applyNumberFormat="1" applyFont="1" applyFill="1" applyBorder="1" applyAlignment="1" applyProtection="1">
      <alignment vertical="center"/>
      <protection locked="0"/>
    </xf>
    <xf numFmtId="178" fontId="5" fillId="0" borderId="35" xfId="0" applyNumberFormat="1" applyFont="1" applyFill="1" applyBorder="1" applyAlignment="1" applyProtection="1">
      <alignment vertical="center"/>
      <protection locked="0"/>
    </xf>
    <xf numFmtId="178" fontId="7" fillId="5" borderId="35" xfId="0" applyNumberFormat="1" applyFont="1" applyFill="1" applyBorder="1" applyAlignment="1" applyProtection="1">
      <alignment vertical="center"/>
      <protection hidden="1"/>
    </xf>
    <xf numFmtId="0" fontId="7" fillId="9" borderId="94" xfId="0" applyFont="1" applyFill="1" applyBorder="1" applyAlignment="1" applyProtection="1">
      <alignment horizontal="left" vertical="center" indent="1"/>
      <protection hidden="1"/>
    </xf>
    <xf numFmtId="178" fontId="6" fillId="5" borderId="86" xfId="0" applyNumberFormat="1" applyFont="1" applyFill="1" applyBorder="1" applyAlignment="1" applyProtection="1">
      <alignment vertical="center"/>
      <protection hidden="1"/>
    </xf>
    <xf numFmtId="178" fontId="6" fillId="5" borderId="90" xfId="0" applyNumberFormat="1" applyFont="1" applyFill="1" applyBorder="1" applyAlignment="1" applyProtection="1">
      <alignment vertical="center"/>
      <protection hidden="1"/>
    </xf>
    <xf numFmtId="0" fontId="7" fillId="9" borderId="12" xfId="5" applyFont="1" applyFill="1" applyBorder="1" applyAlignment="1" applyProtection="1">
      <alignment horizontal="left" vertical="center" indent="1"/>
      <protection hidden="1"/>
    </xf>
    <xf numFmtId="175" fontId="7" fillId="9" borderId="43" xfId="5" applyNumberFormat="1" applyFont="1" applyFill="1" applyBorder="1" applyAlignment="1" applyProtection="1">
      <alignment horizontal="left" vertical="center" indent="1"/>
      <protection hidden="1"/>
    </xf>
    <xf numFmtId="0" fontId="7" fillId="9" borderId="94" xfId="5" applyFont="1" applyFill="1" applyBorder="1" applyAlignment="1" applyProtection="1">
      <alignment horizontal="left" vertical="center" indent="1"/>
      <protection hidden="1"/>
    </xf>
    <xf numFmtId="178" fontId="6" fillId="5" borderId="100" xfId="0" applyNumberFormat="1" applyFont="1" applyFill="1" applyBorder="1" applyAlignment="1" applyProtection="1">
      <alignment vertical="center"/>
      <protection hidden="1"/>
    </xf>
    <xf numFmtId="0" fontId="6" fillId="0" borderId="96" xfId="5" applyNumberFormat="1" applyFont="1" applyFill="1" applyBorder="1" applyAlignment="1" applyProtection="1">
      <alignment horizontal="left" vertical="center" wrapText="1" indent="1"/>
      <protection locked="0"/>
    </xf>
    <xf numFmtId="0" fontId="7" fillId="9" borderId="101" xfId="5" applyFont="1" applyFill="1" applyBorder="1" applyAlignment="1" applyProtection="1">
      <alignment horizontal="left" vertical="center" indent="1"/>
      <protection hidden="1"/>
    </xf>
    <xf numFmtId="0" fontId="7" fillId="9" borderId="26" xfId="5" applyFont="1" applyFill="1" applyBorder="1" applyAlignment="1" applyProtection="1">
      <alignment horizontal="left" vertical="center" indent="1"/>
      <protection hidden="1"/>
    </xf>
    <xf numFmtId="180" fontId="17" fillId="5" borderId="16" xfId="0" applyNumberFormat="1" applyFont="1" applyFill="1" applyBorder="1" applyAlignment="1" applyProtection="1">
      <alignment vertical="center"/>
      <protection hidden="1"/>
    </xf>
    <xf numFmtId="180" fontId="17" fillId="5" borderId="78" xfId="0" applyNumberFormat="1" applyFont="1" applyFill="1" applyBorder="1" applyAlignment="1" applyProtection="1">
      <alignment vertical="center"/>
      <protection hidden="1"/>
    </xf>
    <xf numFmtId="0" fontId="14" fillId="10" borderId="9" xfId="0" applyFont="1" applyFill="1" applyBorder="1" applyAlignment="1" applyProtection="1">
      <alignment horizontal="center" vertical="center"/>
      <protection hidden="1"/>
    </xf>
    <xf numFmtId="180" fontId="7" fillId="9" borderId="29" xfId="0" applyNumberFormat="1" applyFont="1" applyFill="1" applyBorder="1" applyAlignment="1" applyProtection="1">
      <alignment vertical="center"/>
      <protection hidden="1"/>
    </xf>
    <xf numFmtId="0" fontId="6" fillId="9" borderId="9" xfId="0" applyFont="1" applyFill="1" applyBorder="1" applyAlignment="1" applyProtection="1">
      <protection hidden="1"/>
    </xf>
    <xf numFmtId="0" fontId="6" fillId="9" borderId="34" xfId="0" applyFont="1" applyFill="1" applyBorder="1" applyProtection="1">
      <protection hidden="1"/>
    </xf>
    <xf numFmtId="0" fontId="6" fillId="9" borderId="39" xfId="0" applyFont="1" applyFill="1" applyBorder="1" applyProtection="1">
      <protection hidden="1"/>
    </xf>
    <xf numFmtId="0" fontId="12" fillId="5" borderId="0" xfId="0" applyNumberFormat="1" applyFont="1" applyFill="1" applyAlignment="1" applyProtection="1">
      <protection hidden="1"/>
    </xf>
    <xf numFmtId="172" fontId="10" fillId="0" borderId="31" xfId="0" applyNumberFormat="1" applyFont="1" applyFill="1" applyBorder="1" applyAlignment="1" applyProtection="1">
      <alignment horizontal="center" vertical="center"/>
      <protection hidden="1"/>
    </xf>
    <xf numFmtId="0" fontId="6" fillId="9" borderId="102" xfId="0" applyFont="1" applyFill="1" applyBorder="1" applyProtection="1">
      <protection hidden="1"/>
    </xf>
    <xf numFmtId="0" fontId="6" fillId="9" borderId="8" xfId="4" applyFont="1" applyFill="1" applyBorder="1" applyAlignment="1" applyProtection="1">
      <protection hidden="1"/>
    </xf>
    <xf numFmtId="0" fontId="6" fillId="9" borderId="8" xfId="4" applyFont="1" applyFill="1" applyBorder="1" applyProtection="1">
      <protection hidden="1"/>
    </xf>
    <xf numFmtId="172" fontId="7" fillId="5" borderId="0" xfId="4" applyNumberFormat="1" applyFont="1" applyFill="1" applyBorder="1" applyAlignment="1" applyProtection="1">
      <alignment vertical="center"/>
      <protection hidden="1"/>
    </xf>
    <xf numFmtId="172" fontId="7" fillId="5" borderId="0" xfId="4" applyNumberFormat="1" applyFont="1" applyFill="1" applyBorder="1" applyAlignment="1" applyProtection="1">
      <protection hidden="1"/>
    </xf>
    <xf numFmtId="172" fontId="7" fillId="5" borderId="0" xfId="4" applyNumberFormat="1" applyFont="1" applyFill="1" applyBorder="1" applyAlignment="1" applyProtection="1">
      <alignment horizontal="left" vertical="center" indent="1"/>
      <protection hidden="1"/>
    </xf>
    <xf numFmtId="0" fontId="6" fillId="9" borderId="44" xfId="4" applyFont="1" applyFill="1" applyBorder="1" applyAlignment="1" applyProtection="1">
      <alignment vertical="top"/>
      <protection hidden="1"/>
    </xf>
    <xf numFmtId="0" fontId="6" fillId="9" borderId="9" xfId="4" applyFont="1" applyFill="1" applyBorder="1" applyAlignment="1" applyProtection="1">
      <alignment vertical="top"/>
      <protection hidden="1"/>
    </xf>
    <xf numFmtId="0" fontId="6" fillId="9" borderId="9" xfId="4" applyFont="1" applyFill="1" applyBorder="1" applyAlignment="1" applyProtection="1">
      <protection hidden="1"/>
    </xf>
    <xf numFmtId="0" fontId="6" fillId="9" borderId="9" xfId="4" applyFont="1" applyFill="1" applyBorder="1" applyProtection="1">
      <protection hidden="1"/>
    </xf>
    <xf numFmtId="0" fontId="6" fillId="9" borderId="62" xfId="4" applyFont="1" applyFill="1" applyBorder="1" applyProtection="1">
      <protection hidden="1"/>
    </xf>
    <xf numFmtId="172" fontId="6" fillId="5" borderId="65" xfId="4" applyNumberFormat="1" applyFont="1" applyFill="1" applyBorder="1" applyAlignment="1" applyProtection="1">
      <protection hidden="1"/>
    </xf>
    <xf numFmtId="172" fontId="7" fillId="5" borderId="65" xfId="4" applyNumberFormat="1" applyFont="1" applyFill="1" applyBorder="1" applyAlignment="1" applyProtection="1">
      <alignment horizontal="left" indent="1"/>
      <protection hidden="1"/>
    </xf>
    <xf numFmtId="0" fontId="6" fillId="5" borderId="65" xfId="4" applyFont="1" applyFill="1" applyBorder="1" applyAlignment="1" applyProtection="1">
      <alignment vertical="top"/>
      <protection hidden="1"/>
    </xf>
    <xf numFmtId="0" fontId="7" fillId="5" borderId="65" xfId="0" applyNumberFormat="1" applyFont="1" applyFill="1" applyBorder="1" applyAlignment="1" applyProtection="1">
      <alignment horizontal="right" vertical="center" indent="1"/>
      <protection hidden="1"/>
    </xf>
    <xf numFmtId="0" fontId="6" fillId="5" borderId="65" xfId="4" applyFont="1" applyFill="1" applyBorder="1" applyAlignment="1" applyProtection="1">
      <protection hidden="1"/>
    </xf>
    <xf numFmtId="0" fontId="6" fillId="5" borderId="1" xfId="4" applyFont="1" applyFill="1" applyBorder="1" applyAlignment="1" applyProtection="1">
      <alignment vertical="top"/>
      <protection hidden="1"/>
    </xf>
    <xf numFmtId="0" fontId="7" fillId="6" borderId="44" xfId="0" applyFont="1" applyFill="1" applyBorder="1" applyAlignment="1" applyProtection="1">
      <alignment horizontal="centerContinuous"/>
      <protection hidden="1"/>
    </xf>
    <xf numFmtId="172" fontId="6" fillId="6" borderId="65" xfId="0" applyNumberFormat="1" applyFont="1" applyFill="1" applyBorder="1" applyAlignment="1" applyProtection="1">
      <protection hidden="1"/>
    </xf>
    <xf numFmtId="172" fontId="7" fillId="6" borderId="65" xfId="0" applyNumberFormat="1" applyFont="1" applyFill="1" applyBorder="1" applyAlignment="1" applyProtection="1">
      <alignment vertical="center" wrapText="1"/>
      <protection hidden="1"/>
    </xf>
    <xf numFmtId="172" fontId="7" fillId="6" borderId="65" xfId="0" applyNumberFormat="1" applyFont="1" applyFill="1" applyBorder="1" applyAlignment="1" applyProtection="1">
      <alignment horizontal="right" vertical="center" indent="1"/>
      <protection hidden="1"/>
    </xf>
    <xf numFmtId="172" fontId="7" fillId="6" borderId="1" xfId="0" applyNumberFormat="1" applyFont="1" applyFill="1" applyBorder="1" applyAlignment="1" applyProtection="1">
      <alignment horizontal="right" vertical="center" indent="1"/>
      <protection hidden="1"/>
    </xf>
    <xf numFmtId="172" fontId="7" fillId="11" borderId="65" xfId="0" applyNumberFormat="1" applyFont="1" applyFill="1" applyBorder="1" applyAlignment="1" applyProtection="1">
      <alignment horizontal="right" vertical="center" indent="1"/>
      <protection hidden="1"/>
    </xf>
    <xf numFmtId="172" fontId="7" fillId="11" borderId="1" xfId="0" applyNumberFormat="1" applyFont="1" applyFill="1" applyBorder="1" applyAlignment="1" applyProtection="1">
      <alignment horizontal="right" vertical="center" indent="1"/>
      <protection hidden="1"/>
    </xf>
    <xf numFmtId="0" fontId="6" fillId="5" borderId="102" xfId="4" applyFont="1" applyFill="1" applyBorder="1" applyAlignment="1" applyProtection="1">
      <alignment vertical="top"/>
      <protection hidden="1"/>
    </xf>
    <xf numFmtId="172" fontId="7" fillId="6" borderId="102" xfId="0" applyNumberFormat="1" applyFont="1" applyFill="1" applyBorder="1" applyAlignment="1" applyProtection="1">
      <alignment horizontal="right" vertical="center" indent="1"/>
      <protection hidden="1"/>
    </xf>
    <xf numFmtId="172" fontId="7" fillId="11" borderId="102" xfId="0" applyNumberFormat="1" applyFont="1" applyFill="1" applyBorder="1" applyAlignment="1" applyProtection="1">
      <alignment horizontal="right" vertical="center" indent="1"/>
      <protection hidden="1"/>
    </xf>
    <xf numFmtId="172" fontId="7" fillId="6" borderId="102" xfId="0" applyNumberFormat="1" applyFont="1" applyFill="1" applyBorder="1" applyAlignment="1" applyProtection="1">
      <alignment vertical="center" wrapText="1"/>
      <protection hidden="1"/>
    </xf>
    <xf numFmtId="172" fontId="7" fillId="11" borderId="102" xfId="0" applyNumberFormat="1" applyFont="1" applyFill="1" applyBorder="1" applyAlignment="1" applyProtection="1">
      <alignment vertical="center" wrapText="1"/>
      <protection hidden="1"/>
    </xf>
    <xf numFmtId="0" fontId="6" fillId="5" borderId="102" xfId="4" applyFont="1" applyFill="1" applyBorder="1" applyAlignment="1" applyProtection="1">
      <protection hidden="1"/>
    </xf>
    <xf numFmtId="0" fontId="18" fillId="6" borderId="102" xfId="0" applyFont="1" applyFill="1" applyBorder="1" applyAlignment="1" applyProtection="1">
      <protection hidden="1"/>
    </xf>
    <xf numFmtId="0" fontId="18" fillId="11" borderId="102" xfId="0" applyFont="1" applyFill="1" applyBorder="1" applyAlignment="1" applyProtection="1">
      <protection hidden="1"/>
    </xf>
    <xf numFmtId="0" fontId="12" fillId="6" borderId="102" xfId="0" applyFont="1" applyFill="1" applyBorder="1" applyAlignment="1" applyProtection="1">
      <alignment vertical="center"/>
      <protection hidden="1"/>
    </xf>
    <xf numFmtId="0" fontId="12" fillId="11" borderId="102" xfId="0" applyFont="1" applyFill="1" applyBorder="1" applyAlignment="1" applyProtection="1">
      <alignment vertical="center"/>
      <protection hidden="1"/>
    </xf>
    <xf numFmtId="0" fontId="6" fillId="5" borderId="102" xfId="4" applyFont="1" applyFill="1" applyBorder="1" applyProtection="1">
      <protection hidden="1"/>
    </xf>
    <xf numFmtId="0" fontId="12" fillId="6" borderId="102" xfId="0" applyFont="1" applyFill="1" applyBorder="1" applyAlignment="1" applyProtection="1">
      <protection hidden="1"/>
    </xf>
    <xf numFmtId="0" fontId="12" fillId="11" borderId="102" xfId="0" applyFont="1" applyFill="1" applyBorder="1" applyAlignment="1" applyProtection="1">
      <protection hidden="1"/>
    </xf>
    <xf numFmtId="0" fontId="6" fillId="7" borderId="102" xfId="4" applyFont="1" applyFill="1" applyBorder="1" applyProtection="1">
      <protection hidden="1"/>
    </xf>
    <xf numFmtId="0" fontId="6" fillId="12" borderId="102" xfId="4" applyFont="1" applyFill="1" applyBorder="1" applyProtection="1">
      <protection hidden="1"/>
    </xf>
    <xf numFmtId="172" fontId="6" fillId="5" borderId="102" xfId="7" applyNumberFormat="1" applyFont="1" applyFill="1" applyBorder="1" applyAlignment="1" applyProtection="1">
      <alignment vertical="center"/>
      <protection hidden="1"/>
    </xf>
    <xf numFmtId="0" fontId="6" fillId="5" borderId="60" xfId="4" applyFont="1" applyFill="1" applyBorder="1" applyProtection="1">
      <protection hidden="1"/>
    </xf>
    <xf numFmtId="0" fontId="6" fillId="5" borderId="42" xfId="4" applyFont="1" applyFill="1" applyBorder="1" applyProtection="1">
      <protection hidden="1"/>
    </xf>
    <xf numFmtId="0" fontId="6" fillId="7" borderId="62" xfId="4" applyFont="1" applyFill="1" applyBorder="1" applyProtection="1">
      <protection hidden="1"/>
    </xf>
    <xf numFmtId="0" fontId="6" fillId="7" borderId="60" xfId="4" applyFont="1" applyFill="1" applyBorder="1" applyProtection="1">
      <protection hidden="1"/>
    </xf>
    <xf numFmtId="0" fontId="6" fillId="7" borderId="42" xfId="4" applyFont="1" applyFill="1" applyBorder="1" applyProtection="1">
      <protection hidden="1"/>
    </xf>
    <xf numFmtId="0" fontId="6" fillId="12" borderId="60" xfId="4" applyFont="1" applyFill="1" applyBorder="1" applyProtection="1">
      <protection hidden="1"/>
    </xf>
    <xf numFmtId="0" fontId="6" fillId="12" borderId="42" xfId="4" applyFont="1" applyFill="1" applyBorder="1" applyProtection="1">
      <protection hidden="1"/>
    </xf>
    <xf numFmtId="0" fontId="13" fillId="4" borderId="0" xfId="0" applyFont="1" applyFill="1" applyBorder="1" applyAlignment="1" applyProtection="1">
      <protection hidden="1"/>
    </xf>
    <xf numFmtId="0" fontId="7" fillId="2" borderId="102" xfId="0" applyFont="1" applyFill="1" applyBorder="1" applyAlignment="1" applyProtection="1">
      <alignment vertical="center"/>
      <protection hidden="1"/>
    </xf>
    <xf numFmtId="0" fontId="7" fillId="4" borderId="0" xfId="0" applyFont="1" applyFill="1" applyBorder="1" applyAlignment="1" applyProtection="1">
      <alignment horizontal="right" vertical="center"/>
      <protection hidden="1"/>
    </xf>
    <xf numFmtId="0" fontId="6" fillId="9" borderId="44" xfId="0" applyFont="1" applyFill="1" applyBorder="1" applyProtection="1">
      <protection hidden="1"/>
    </xf>
    <xf numFmtId="0" fontId="6" fillId="4" borderId="26" xfId="0" applyFont="1" applyFill="1" applyBorder="1" applyAlignment="1" applyProtection="1">
      <protection hidden="1"/>
    </xf>
    <xf numFmtId="0" fontId="6" fillId="4" borderId="12" xfId="0" applyFont="1" applyFill="1" applyBorder="1" applyAlignment="1" applyProtection="1">
      <alignment horizontal="left" vertical="center" wrapText="1" indent="1"/>
      <protection hidden="1"/>
    </xf>
    <xf numFmtId="0" fontId="6" fillId="4" borderId="12" xfId="0" applyFont="1" applyFill="1" applyBorder="1" applyAlignment="1" applyProtection="1">
      <protection hidden="1"/>
    </xf>
    <xf numFmtId="0" fontId="6" fillId="4" borderId="12" xfId="0" applyFont="1" applyFill="1" applyBorder="1" applyAlignment="1" applyProtection="1">
      <alignment vertical="center" wrapText="1"/>
      <protection hidden="1"/>
    </xf>
    <xf numFmtId="0" fontId="7" fillId="4" borderId="12" xfId="0" applyFont="1" applyFill="1" applyBorder="1" applyAlignment="1" applyProtection="1">
      <protection hidden="1"/>
    </xf>
    <xf numFmtId="0" fontId="7" fillId="4" borderId="18" xfId="0" applyFont="1" applyFill="1" applyBorder="1" applyAlignment="1" applyProtection="1">
      <protection hidden="1"/>
    </xf>
    <xf numFmtId="0" fontId="7" fillId="4" borderId="12" xfId="0" applyFont="1" applyFill="1" applyBorder="1" applyAlignment="1" applyProtection="1">
      <alignment horizontal="left" vertical="center" indent="1"/>
      <protection hidden="1"/>
    </xf>
    <xf numFmtId="0" fontId="7" fillId="4" borderId="12" xfId="0" applyFont="1" applyFill="1" applyBorder="1" applyAlignment="1" applyProtection="1">
      <alignment horizontal="left" vertical="center" indent="2"/>
      <protection hidden="1"/>
    </xf>
    <xf numFmtId="0" fontId="6" fillId="4" borderId="12" xfId="0" applyFont="1" applyFill="1" applyBorder="1" applyAlignment="1" applyProtection="1">
      <alignment horizontal="left" vertical="center" indent="3"/>
      <protection hidden="1"/>
    </xf>
    <xf numFmtId="0" fontId="7" fillId="4" borderId="12" xfId="0" applyFont="1" applyFill="1" applyBorder="1" applyAlignment="1" applyProtection="1">
      <alignment horizontal="left" vertical="center" indent="3"/>
      <protection hidden="1"/>
    </xf>
    <xf numFmtId="0" fontId="6" fillId="4" borderId="12" xfId="0" applyFont="1" applyFill="1" applyBorder="1" applyAlignment="1" applyProtection="1">
      <alignment horizontal="left" vertical="center" wrapText="1" indent="4"/>
      <protection hidden="1"/>
    </xf>
    <xf numFmtId="0" fontId="7" fillId="4" borderId="26" xfId="0" applyFont="1" applyFill="1" applyBorder="1" applyAlignment="1" applyProtection="1">
      <alignment horizontal="left" vertical="center" indent="1"/>
      <protection hidden="1"/>
    </xf>
    <xf numFmtId="0" fontId="7" fillId="4" borderId="18" xfId="0" applyFont="1" applyFill="1" applyBorder="1" applyAlignment="1" applyProtection="1">
      <alignment horizontal="left" vertical="center" indent="2"/>
      <protection hidden="1"/>
    </xf>
    <xf numFmtId="0" fontId="6" fillId="4" borderId="58" xfId="0" applyFont="1" applyFill="1" applyBorder="1" applyAlignment="1" applyProtection="1">
      <protection hidden="1"/>
    </xf>
    <xf numFmtId="0" fontId="13" fillId="4" borderId="0" xfId="0" applyFont="1" applyFill="1" applyBorder="1" applyProtection="1">
      <protection hidden="1"/>
    </xf>
    <xf numFmtId="0" fontId="7" fillId="4" borderId="0" xfId="0" applyFont="1" applyFill="1" applyBorder="1" applyAlignment="1" applyProtection="1">
      <alignment horizontal="left"/>
      <protection hidden="1"/>
    </xf>
    <xf numFmtId="0" fontId="7" fillId="3" borderId="0" xfId="9" applyFont="1" applyFill="1" applyBorder="1" applyProtection="1">
      <protection hidden="1"/>
    </xf>
    <xf numFmtId="0" fontId="7" fillId="4" borderId="0" xfId="0" applyFont="1" applyFill="1" applyBorder="1" applyAlignment="1" applyProtection="1">
      <alignment horizontal="left" vertical="center" indent="1"/>
      <protection hidden="1"/>
    </xf>
    <xf numFmtId="0" fontId="7" fillId="4" borderId="60" xfId="0" applyFont="1" applyFill="1" applyBorder="1" applyAlignment="1" applyProtection="1">
      <alignment horizontal="left" vertical="center" indent="1"/>
      <protection hidden="1"/>
    </xf>
    <xf numFmtId="0" fontId="7" fillId="4" borderId="24" xfId="0" applyFont="1" applyFill="1" applyBorder="1" applyAlignment="1" applyProtection="1">
      <alignment horizontal="left"/>
      <protection hidden="1"/>
    </xf>
    <xf numFmtId="0" fontId="7" fillId="4" borderId="6" xfId="0" applyFont="1" applyFill="1" applyBorder="1" applyAlignment="1" applyProtection="1">
      <alignment horizontal="left" vertical="center" indent="1"/>
      <protection hidden="1"/>
    </xf>
    <xf numFmtId="0" fontId="6" fillId="4" borderId="6" xfId="0" applyFont="1" applyFill="1" applyBorder="1" applyAlignment="1" applyProtection="1">
      <alignment vertical="center"/>
      <protection hidden="1"/>
    </xf>
    <xf numFmtId="0" fontId="6" fillId="4" borderId="15" xfId="0" applyFont="1" applyFill="1" applyBorder="1" applyAlignment="1" applyProtection="1">
      <alignment vertical="center"/>
      <protection hidden="1"/>
    </xf>
    <xf numFmtId="0" fontId="6" fillId="4" borderId="6" xfId="0" applyFont="1" applyFill="1" applyBorder="1" applyAlignment="1" applyProtection="1">
      <alignment horizontal="left" vertical="center" indent="2"/>
      <protection hidden="1"/>
    </xf>
    <xf numFmtId="0" fontId="7" fillId="4" borderId="65" xfId="0" applyFont="1" applyFill="1" applyBorder="1" applyAlignment="1" applyProtection="1">
      <alignment horizontal="left" vertical="center" indent="1"/>
      <protection hidden="1"/>
    </xf>
    <xf numFmtId="0" fontId="7" fillId="5" borderId="0" xfId="0" applyFont="1" applyFill="1" applyBorder="1" applyAlignment="1" applyProtection="1">
      <alignment horizontal="left" vertical="center"/>
      <protection hidden="1"/>
    </xf>
    <xf numFmtId="0" fontId="7" fillId="5" borderId="0" xfId="0" applyFont="1" applyFill="1" applyBorder="1" applyAlignment="1" applyProtection="1">
      <protection hidden="1"/>
    </xf>
    <xf numFmtId="0" fontId="6" fillId="5" borderId="24" xfId="0" applyFont="1" applyFill="1" applyBorder="1" applyProtection="1">
      <protection hidden="1"/>
    </xf>
    <xf numFmtId="0" fontId="7" fillId="4" borderId="6" xfId="0" applyFont="1" applyFill="1" applyBorder="1" applyAlignment="1" applyProtection="1">
      <alignment horizontal="left" vertical="center" wrapText="1" indent="1"/>
      <protection hidden="1"/>
    </xf>
    <xf numFmtId="0" fontId="6" fillId="5" borderId="6" xfId="0" applyFont="1" applyFill="1" applyBorder="1" applyProtection="1">
      <protection hidden="1"/>
    </xf>
    <xf numFmtId="0" fontId="6" fillId="4" borderId="6" xfId="0" applyFont="1" applyFill="1" applyBorder="1" applyAlignment="1" applyProtection="1">
      <protection hidden="1"/>
    </xf>
    <xf numFmtId="0" fontId="6" fillId="4" borderId="15" xfId="0" applyFont="1" applyFill="1" applyBorder="1" applyAlignment="1" applyProtection="1">
      <protection hidden="1"/>
    </xf>
    <xf numFmtId="0" fontId="6" fillId="4" borderId="6" xfId="0" applyFont="1" applyFill="1" applyBorder="1" applyAlignment="1" applyProtection="1">
      <alignment horizontal="left" vertical="center" indent="1"/>
      <protection hidden="1"/>
    </xf>
    <xf numFmtId="0" fontId="6" fillId="4" borderId="30" xfId="0" applyFont="1" applyFill="1" applyBorder="1" applyAlignment="1" applyProtection="1">
      <alignment horizontal="left" vertical="center" indent="1"/>
      <protection hidden="1"/>
    </xf>
    <xf numFmtId="0" fontId="7" fillId="5" borderId="15" xfId="0" applyFont="1" applyFill="1" applyBorder="1" applyAlignment="1" applyProtection="1">
      <alignment horizontal="left" vertical="center" wrapText="1" indent="1"/>
      <protection hidden="1"/>
    </xf>
    <xf numFmtId="0" fontId="6" fillId="9" borderId="0" xfId="9" applyFont="1" applyFill="1" applyProtection="1">
      <protection hidden="1"/>
    </xf>
    <xf numFmtId="0" fontId="6" fillId="4" borderId="0" xfId="0" applyFont="1" applyFill="1" applyBorder="1" applyAlignment="1" applyProtection="1">
      <alignment horizontal="left" vertical="center"/>
      <protection hidden="1"/>
    </xf>
    <xf numFmtId="0" fontId="7" fillId="3" borderId="0" xfId="9" applyFont="1" applyFill="1" applyBorder="1" applyAlignment="1" applyProtection="1">
      <alignment horizontal="left"/>
      <protection hidden="1"/>
    </xf>
    <xf numFmtId="0" fontId="7" fillId="3" borderId="0" xfId="9" applyFont="1" applyFill="1" applyBorder="1" applyAlignment="1" applyProtection="1">
      <alignment horizontal="left" vertical="center" indent="1"/>
      <protection hidden="1"/>
    </xf>
    <xf numFmtId="0" fontId="6" fillId="9" borderId="9" xfId="9" applyFont="1" applyFill="1" applyBorder="1" applyProtection="1">
      <protection hidden="1"/>
    </xf>
    <xf numFmtId="0" fontId="6" fillId="9" borderId="9" xfId="9" applyFont="1" applyFill="1" applyBorder="1" applyAlignment="1" applyProtection="1">
      <alignment vertical="center"/>
      <protection hidden="1"/>
    </xf>
    <xf numFmtId="0" fontId="6" fillId="9" borderId="44" xfId="9" applyFont="1" applyFill="1" applyBorder="1" applyAlignment="1" applyProtection="1">
      <alignment vertical="top"/>
      <protection hidden="1"/>
    </xf>
    <xf numFmtId="0" fontId="6" fillId="9" borderId="62" xfId="9" applyFont="1" applyFill="1" applyBorder="1" applyAlignment="1" applyProtection="1">
      <alignment vertical="center"/>
      <protection hidden="1"/>
    </xf>
    <xf numFmtId="0" fontId="7" fillId="3" borderId="102" xfId="9" applyFont="1" applyFill="1" applyBorder="1" applyAlignment="1" applyProtection="1">
      <alignment horizontal="center" vertical="top"/>
      <protection hidden="1"/>
    </xf>
    <xf numFmtId="0" fontId="7" fillId="3" borderId="102" xfId="9" applyFont="1" applyFill="1" applyBorder="1" applyAlignment="1" applyProtection="1">
      <alignment horizontal="center" vertical="center"/>
      <protection hidden="1"/>
    </xf>
    <xf numFmtId="172" fontId="7" fillId="2" borderId="102" xfId="0" applyNumberFormat="1" applyFont="1" applyFill="1" applyBorder="1" applyAlignment="1" applyProtection="1">
      <alignment horizontal="center" vertical="top"/>
      <protection hidden="1"/>
    </xf>
    <xf numFmtId="0" fontId="7" fillId="3" borderId="0" xfId="0" applyFont="1" applyFill="1" applyBorder="1" applyAlignment="1" applyProtection="1">
      <alignment horizontal="left"/>
      <protection hidden="1"/>
    </xf>
    <xf numFmtId="0" fontId="7" fillId="3" borderId="0" xfId="0" applyFont="1" applyFill="1" applyBorder="1" applyAlignment="1" applyProtection="1">
      <alignment horizontal="left" indent="1"/>
      <protection hidden="1"/>
    </xf>
    <xf numFmtId="0" fontId="7" fillId="5" borderId="15" xfId="0" applyFont="1" applyFill="1" applyBorder="1" applyAlignment="1" applyProtection="1">
      <alignment horizontal="left" vertical="center" wrapText="1" indent="2"/>
      <protection hidden="1"/>
    </xf>
    <xf numFmtId="0" fontId="7" fillId="4" borderId="0" xfId="0" applyFont="1" applyFill="1" applyBorder="1" applyAlignment="1" applyProtection="1">
      <alignment horizontal="left" vertical="center"/>
      <protection hidden="1"/>
    </xf>
    <xf numFmtId="0" fontId="7" fillId="9" borderId="0" xfId="0" applyFont="1" applyFill="1" applyBorder="1" applyProtection="1">
      <protection hidden="1"/>
    </xf>
    <xf numFmtId="0" fontId="6" fillId="10" borderId="0" xfId="0" applyFont="1" applyFill="1" applyBorder="1" applyAlignment="1" applyProtection="1">
      <protection hidden="1"/>
    </xf>
    <xf numFmtId="0" fontId="6" fillId="10" borderId="60" xfId="0" applyFont="1" applyFill="1" applyBorder="1" applyAlignment="1" applyProtection="1">
      <protection hidden="1"/>
    </xf>
    <xf numFmtId="0" fontId="6" fillId="9" borderId="44" xfId="0" applyFont="1" applyFill="1" applyBorder="1" applyAlignment="1" applyProtection="1">
      <alignment vertical="center"/>
      <protection hidden="1"/>
    </xf>
    <xf numFmtId="0" fontId="6" fillId="9" borderId="0" xfId="0" applyFont="1" applyFill="1" applyAlignment="1" applyProtection="1">
      <protection hidden="1"/>
    </xf>
    <xf numFmtId="0" fontId="25" fillId="9" borderId="0" xfId="0" applyFont="1" applyFill="1" applyAlignment="1" applyProtection="1">
      <alignment vertical="center"/>
      <protection hidden="1"/>
    </xf>
    <xf numFmtId="0" fontId="6" fillId="9" borderId="9" xfId="0" applyNumberFormat="1" applyFont="1" applyFill="1" applyBorder="1" applyAlignment="1" applyProtection="1">
      <protection hidden="1"/>
    </xf>
    <xf numFmtId="0" fontId="6" fillId="10" borderId="58" xfId="0" applyFont="1" applyFill="1" applyBorder="1" applyAlignment="1" applyProtection="1">
      <protection hidden="1"/>
    </xf>
    <xf numFmtId="0" fontId="12" fillId="9" borderId="64" xfId="0" applyFont="1" applyFill="1" applyBorder="1" applyAlignment="1" applyProtection="1">
      <protection hidden="1"/>
    </xf>
    <xf numFmtId="0" fontId="6" fillId="9" borderId="104" xfId="0" applyFont="1" applyFill="1" applyBorder="1" applyAlignment="1" applyProtection="1">
      <alignment vertical="center"/>
      <protection hidden="1"/>
    </xf>
    <xf numFmtId="0" fontId="6" fillId="9" borderId="104" xfId="0" applyFont="1" applyFill="1" applyBorder="1" applyProtection="1">
      <protection hidden="1"/>
    </xf>
    <xf numFmtId="0" fontId="6" fillId="9" borderId="104" xfId="0" applyFont="1" applyFill="1" applyBorder="1" applyAlignment="1" applyProtection="1">
      <protection hidden="1"/>
    </xf>
    <xf numFmtId="0" fontId="12" fillId="5" borderId="64" xfId="0" applyFont="1" applyFill="1" applyBorder="1" applyAlignment="1" applyProtection="1">
      <alignment vertical="center"/>
      <protection hidden="1"/>
    </xf>
    <xf numFmtId="0" fontId="6" fillId="4" borderId="55" xfId="0" applyFont="1" applyFill="1" applyBorder="1" applyAlignment="1" applyProtection="1">
      <alignment horizontal="left" vertical="center" indent="1"/>
      <protection hidden="1"/>
    </xf>
    <xf numFmtId="0" fontId="7" fillId="4" borderId="10" xfId="0" applyFont="1" applyFill="1" applyBorder="1" applyAlignment="1" applyProtection="1">
      <alignment horizontal="left" vertical="center" indent="1"/>
      <protection hidden="1"/>
    </xf>
    <xf numFmtId="0" fontId="7" fillId="4" borderId="2" xfId="0" applyFont="1" applyFill="1" applyBorder="1" applyAlignment="1" applyProtection="1">
      <alignment horizontal="center" vertical="top" wrapText="1"/>
      <protection hidden="1"/>
    </xf>
    <xf numFmtId="0" fontId="7" fillId="4" borderId="0" xfId="0" applyFont="1" applyFill="1" applyBorder="1" applyAlignment="1" applyProtection="1">
      <alignment horizontal="center" vertical="center"/>
      <protection hidden="1"/>
    </xf>
    <xf numFmtId="0" fontId="7" fillId="4" borderId="21" xfId="0" applyFont="1" applyFill="1" applyBorder="1" applyAlignment="1" applyProtection="1">
      <alignment horizontal="left"/>
      <protection hidden="1"/>
    </xf>
    <xf numFmtId="0" fontId="7" fillId="4" borderId="11" xfId="0" applyFont="1" applyFill="1" applyBorder="1" applyAlignment="1" applyProtection="1">
      <alignment horizontal="center" vertical="top" wrapText="1"/>
      <protection hidden="1"/>
    </xf>
    <xf numFmtId="0" fontId="7" fillId="4" borderId="23" xfId="0" applyFont="1" applyFill="1" applyBorder="1" applyAlignment="1" applyProtection="1">
      <alignment horizontal="center" vertical="center"/>
      <protection hidden="1"/>
    </xf>
    <xf numFmtId="0" fontId="6" fillId="4" borderId="10" xfId="0" applyFont="1" applyFill="1" applyBorder="1" applyAlignment="1" applyProtection="1">
      <alignment vertical="center"/>
      <protection hidden="1"/>
    </xf>
    <xf numFmtId="0" fontId="6" fillId="4" borderId="34" xfId="0" applyFont="1" applyFill="1" applyBorder="1" applyAlignment="1" applyProtection="1">
      <alignment vertical="center"/>
      <protection hidden="1"/>
    </xf>
    <xf numFmtId="0" fontId="6" fillId="4" borderId="10" xfId="0" applyFont="1" applyFill="1" applyBorder="1" applyAlignment="1" applyProtection="1">
      <alignment horizontal="left" vertical="center" indent="1"/>
      <protection hidden="1"/>
    </xf>
    <xf numFmtId="0" fontId="6" fillId="4" borderId="39" xfId="0" applyFont="1" applyFill="1" applyBorder="1" applyAlignment="1" applyProtection="1">
      <alignment horizontal="left" vertical="center" indent="1"/>
      <protection hidden="1"/>
    </xf>
    <xf numFmtId="0" fontId="7" fillId="4" borderId="34" xfId="0" applyFont="1" applyFill="1" applyBorder="1" applyAlignment="1" applyProtection="1">
      <alignment horizontal="left" vertical="center" indent="1"/>
      <protection hidden="1"/>
    </xf>
    <xf numFmtId="0" fontId="7" fillId="4" borderId="12" xfId="0" applyFont="1" applyFill="1" applyBorder="1" applyAlignment="1" applyProtection="1">
      <alignment horizontal="center" vertical="center"/>
      <protection hidden="1"/>
    </xf>
    <xf numFmtId="0" fontId="7" fillId="4" borderId="11" xfId="0" applyFont="1" applyFill="1" applyBorder="1" applyAlignment="1" applyProtection="1">
      <alignment horizontal="center" vertical="center" wrapText="1"/>
      <protection hidden="1"/>
    </xf>
    <xf numFmtId="0" fontId="7" fillId="4" borderId="71" xfId="0" applyFont="1" applyFill="1" applyBorder="1" applyAlignment="1" applyProtection="1">
      <alignment horizontal="center" vertical="top"/>
      <protection hidden="1"/>
    </xf>
    <xf numFmtId="0" fontId="7" fillId="4" borderId="6" xfId="0" applyFont="1" applyFill="1" applyBorder="1" applyAlignment="1" applyProtection="1">
      <alignment horizontal="center" vertical="center" wrapText="1"/>
      <protection hidden="1"/>
    </xf>
    <xf numFmtId="0" fontId="7" fillId="4" borderId="10" xfId="0" applyFont="1" applyFill="1" applyBorder="1" applyAlignment="1" applyProtection="1">
      <alignment horizontal="center" vertical="center"/>
      <protection hidden="1"/>
    </xf>
    <xf numFmtId="170" fontId="6" fillId="13" borderId="6" xfId="0" applyNumberFormat="1" applyFont="1" applyFill="1" applyBorder="1" applyAlignment="1" applyProtection="1">
      <alignment vertical="center"/>
      <protection hidden="1"/>
    </xf>
    <xf numFmtId="167" fontId="6" fillId="13" borderId="31" xfId="0" applyNumberFormat="1" applyFont="1" applyFill="1" applyBorder="1" applyAlignment="1" applyProtection="1">
      <alignment vertical="center"/>
      <protection hidden="1"/>
    </xf>
    <xf numFmtId="170" fontId="6" fillId="13" borderId="32" xfId="0" applyNumberFormat="1" applyFont="1" applyFill="1" applyBorder="1" applyAlignment="1" applyProtection="1">
      <alignment vertical="center"/>
      <protection hidden="1"/>
    </xf>
    <xf numFmtId="167" fontId="6" fillId="13" borderId="103" xfId="0" applyNumberFormat="1" applyFont="1" applyFill="1" applyBorder="1" applyAlignment="1" applyProtection="1">
      <alignment vertical="center"/>
      <protection hidden="1"/>
    </xf>
    <xf numFmtId="170" fontId="6" fillId="13" borderId="31" xfId="0" applyNumberFormat="1" applyFont="1" applyFill="1" applyBorder="1" applyAlignment="1" applyProtection="1">
      <alignment vertical="center"/>
      <protection hidden="1"/>
    </xf>
    <xf numFmtId="170" fontId="6" fillId="13" borderId="50" xfId="0" applyNumberFormat="1" applyFont="1" applyFill="1" applyBorder="1" applyAlignment="1" applyProtection="1">
      <alignment vertical="center"/>
      <protection hidden="1"/>
    </xf>
    <xf numFmtId="180" fontId="7" fillId="14" borderId="31" xfId="0" applyNumberFormat="1" applyFont="1" applyFill="1" applyBorder="1" applyAlignment="1" applyProtection="1">
      <alignment vertical="center"/>
      <protection hidden="1"/>
    </xf>
    <xf numFmtId="181" fontId="7" fillId="14" borderId="31" xfId="0" applyNumberFormat="1" applyFont="1" applyFill="1" applyBorder="1" applyAlignment="1" applyProtection="1">
      <alignment vertical="center"/>
      <protection hidden="1"/>
    </xf>
    <xf numFmtId="181" fontId="7" fillId="14" borderId="33" xfId="0" applyNumberFormat="1" applyFont="1" applyFill="1" applyBorder="1" applyAlignment="1" applyProtection="1">
      <alignment vertical="center"/>
      <protection hidden="1"/>
    </xf>
    <xf numFmtId="0" fontId="7" fillId="4" borderId="11" xfId="0" applyFont="1" applyFill="1" applyBorder="1" applyAlignment="1" applyProtection="1">
      <alignment horizontal="center" vertical="center"/>
      <protection hidden="1"/>
    </xf>
    <xf numFmtId="0" fontId="7" fillId="4" borderId="96" xfId="0" applyFont="1" applyFill="1" applyBorder="1" applyAlignment="1" applyProtection="1">
      <alignment horizontal="center" vertical="top" wrapText="1"/>
      <protection hidden="1"/>
    </xf>
    <xf numFmtId="170" fontId="6" fillId="13" borderId="30" xfId="0" applyNumberFormat="1" applyFont="1" applyFill="1" applyBorder="1" applyAlignment="1" applyProtection="1">
      <alignment vertical="center"/>
      <protection hidden="1"/>
    </xf>
    <xf numFmtId="180" fontId="7" fillId="9" borderId="18" xfId="0" applyNumberFormat="1" applyFont="1" applyFill="1" applyBorder="1" applyAlignment="1" applyProtection="1">
      <alignment vertical="center"/>
      <protection hidden="1"/>
    </xf>
    <xf numFmtId="180" fontId="7" fillId="9" borderId="94" xfId="0" applyNumberFormat="1" applyFont="1" applyFill="1" applyBorder="1" applyAlignment="1" applyProtection="1">
      <alignment vertical="center"/>
      <protection hidden="1"/>
    </xf>
    <xf numFmtId="180" fontId="6" fillId="9" borderId="63" xfId="0" applyNumberFormat="1" applyFont="1" applyFill="1" applyBorder="1" applyAlignment="1" applyProtection="1">
      <alignment vertical="center"/>
      <protection hidden="1"/>
    </xf>
    <xf numFmtId="180" fontId="6" fillId="0" borderId="12" xfId="0" applyNumberFormat="1" applyFont="1" applyFill="1" applyBorder="1" applyAlignment="1" applyProtection="1">
      <alignment vertical="center"/>
      <protection locked="0"/>
    </xf>
    <xf numFmtId="180" fontId="6" fillId="0" borderId="43" xfId="0" applyNumberFormat="1" applyFont="1" applyFill="1" applyBorder="1" applyAlignment="1" applyProtection="1">
      <alignment vertical="center"/>
      <protection locked="0"/>
    </xf>
    <xf numFmtId="178" fontId="6" fillId="0" borderId="7" xfId="0" applyNumberFormat="1" applyFont="1" applyFill="1" applyBorder="1" applyAlignment="1" applyProtection="1">
      <alignment vertical="center"/>
      <protection locked="0"/>
    </xf>
    <xf numFmtId="178" fontId="6" fillId="0" borderId="2" xfId="0" applyNumberFormat="1" applyFont="1" applyFill="1" applyBorder="1" applyAlignment="1" applyProtection="1">
      <alignment vertical="center"/>
      <protection locked="0"/>
    </xf>
    <xf numFmtId="178" fontId="6" fillId="0" borderId="104" xfId="0" applyNumberFormat="1" applyFont="1" applyFill="1" applyBorder="1" applyAlignment="1" applyProtection="1">
      <alignment vertical="center"/>
      <protection locked="0"/>
    </xf>
    <xf numFmtId="178" fontId="6" fillId="0" borderId="0" xfId="0" applyNumberFormat="1" applyFont="1" applyFill="1" applyBorder="1" applyAlignment="1" applyProtection="1">
      <alignment vertical="center"/>
      <protection locked="0"/>
    </xf>
    <xf numFmtId="178" fontId="6" fillId="15" borderId="7" xfId="0" applyNumberFormat="1" applyFont="1" applyFill="1" applyBorder="1" applyAlignment="1" applyProtection="1">
      <alignment vertical="center"/>
      <protection locked="0"/>
    </xf>
    <xf numFmtId="178" fontId="6" fillId="15" borderId="8" xfId="0" applyNumberFormat="1" applyFont="1" applyFill="1" applyBorder="1" applyAlignment="1" applyProtection="1">
      <alignment vertical="center"/>
      <protection locked="0"/>
    </xf>
    <xf numFmtId="178" fontId="6" fillId="15" borderId="31" xfId="0" applyNumberFormat="1" applyFont="1" applyFill="1" applyBorder="1" applyAlignment="1" applyProtection="1">
      <alignment vertical="center"/>
      <protection locked="0"/>
    </xf>
    <xf numFmtId="178" fontId="6" fillId="15" borderId="33" xfId="0" applyNumberFormat="1" applyFont="1" applyFill="1" applyBorder="1" applyAlignment="1" applyProtection="1">
      <alignment vertical="center"/>
      <protection locked="0"/>
    </xf>
    <xf numFmtId="178" fontId="6" fillId="16" borderId="11" xfId="0" applyNumberFormat="1" applyFont="1" applyFill="1" applyBorder="1" applyAlignment="1" applyProtection="1">
      <alignment vertical="center"/>
      <protection hidden="1"/>
    </xf>
    <xf numFmtId="178" fontId="6" fillId="9" borderId="93" xfId="0" applyNumberFormat="1" applyFont="1" applyFill="1" applyBorder="1" applyAlignment="1" applyProtection="1">
      <alignment vertical="center"/>
      <protection hidden="1"/>
    </xf>
    <xf numFmtId="0" fontId="6" fillId="9" borderId="0" xfId="0" quotePrefix="1" applyFont="1" applyFill="1" applyBorder="1" applyAlignment="1" applyProtection="1">
      <protection hidden="1"/>
    </xf>
    <xf numFmtId="0" fontId="14" fillId="5" borderId="104" xfId="0" applyFont="1" applyFill="1" applyBorder="1" applyAlignment="1" applyProtection="1">
      <alignment horizontal="center" vertical="center"/>
      <protection hidden="1"/>
    </xf>
    <xf numFmtId="181" fontId="7" fillId="8" borderId="18" xfId="0" applyNumberFormat="1" applyFont="1" applyFill="1" applyBorder="1" applyAlignment="1" applyProtection="1">
      <alignment vertical="center"/>
      <protection hidden="1"/>
    </xf>
    <xf numFmtId="180" fontId="7" fillId="8" borderId="26" xfId="0" applyNumberFormat="1" applyFont="1" applyFill="1" applyBorder="1" applyAlignment="1" applyProtection="1">
      <alignment vertical="center"/>
      <protection hidden="1"/>
    </xf>
    <xf numFmtId="180" fontId="7" fillId="8" borderId="43" xfId="0" applyNumberFormat="1" applyFont="1" applyFill="1" applyBorder="1" applyAlignment="1" applyProtection="1">
      <alignment vertical="center"/>
      <protection hidden="1"/>
    </xf>
    <xf numFmtId="0" fontId="6" fillId="4" borderId="2" xfId="0" applyFont="1" applyFill="1" applyBorder="1" applyAlignment="1" applyProtection="1">
      <alignment horizontal="left" indent="2"/>
      <protection hidden="1"/>
    </xf>
    <xf numFmtId="0" fontId="7" fillId="4" borderId="2" xfId="0" applyFont="1" applyFill="1" applyBorder="1" applyAlignment="1" applyProtection="1">
      <alignment vertical="center"/>
      <protection hidden="1"/>
    </xf>
    <xf numFmtId="0" fontId="7" fillId="5" borderId="2" xfId="0" quotePrefix="1" applyFont="1" applyFill="1" applyBorder="1" applyAlignment="1" applyProtection="1">
      <alignment horizontal="center" vertical="center" wrapText="1"/>
      <protection hidden="1"/>
    </xf>
    <xf numFmtId="181" fontId="7" fillId="8" borderId="2" xfId="0" applyNumberFormat="1" applyFont="1" applyFill="1" applyBorder="1" applyAlignment="1" applyProtection="1">
      <alignment vertical="center"/>
      <protection hidden="1"/>
    </xf>
    <xf numFmtId="0" fontId="7" fillId="4" borderId="12" xfId="0" applyFont="1" applyFill="1" applyBorder="1" applyAlignment="1" applyProtection="1">
      <alignment horizontal="center" vertical="center" wrapText="1"/>
      <protection hidden="1"/>
    </xf>
    <xf numFmtId="0" fontId="7" fillId="4" borderId="12" xfId="0" applyFont="1" applyFill="1" applyBorder="1" applyAlignment="1" applyProtection="1">
      <alignment horizontal="center" vertical="top" wrapText="1"/>
      <protection hidden="1"/>
    </xf>
    <xf numFmtId="0" fontId="6" fillId="4" borderId="60" xfId="0" applyFont="1" applyFill="1" applyBorder="1" applyAlignment="1" applyProtection="1">
      <protection hidden="1"/>
    </xf>
    <xf numFmtId="178" fontId="6" fillId="9" borderId="63" xfId="0" applyNumberFormat="1" applyFont="1" applyFill="1" applyBorder="1" applyAlignment="1" applyProtection="1">
      <alignment vertical="center"/>
      <protection hidden="1"/>
    </xf>
    <xf numFmtId="0" fontId="6" fillId="9" borderId="10" xfId="0" applyFont="1" applyFill="1" applyBorder="1" applyProtection="1">
      <protection hidden="1"/>
    </xf>
    <xf numFmtId="0" fontId="6" fillId="9" borderId="11" xfId="0" applyFont="1" applyFill="1" applyBorder="1" applyProtection="1">
      <protection hidden="1"/>
    </xf>
    <xf numFmtId="0" fontId="7" fillId="9" borderId="3" xfId="0" applyFont="1" applyFill="1" applyBorder="1" applyAlignment="1" applyProtection="1">
      <alignment horizontal="center" vertical="top" wrapText="1"/>
      <protection hidden="1"/>
    </xf>
    <xf numFmtId="0" fontId="7" fillId="9" borderId="45" xfId="0" applyFont="1" applyFill="1" applyBorder="1" applyAlignment="1" applyProtection="1">
      <alignment horizontal="center" vertical="top" wrapText="1"/>
      <protection hidden="1"/>
    </xf>
    <xf numFmtId="178" fontId="15" fillId="8" borderId="11" xfId="0" applyNumberFormat="1" applyFont="1" applyFill="1" applyBorder="1" applyAlignment="1" applyProtection="1">
      <alignment vertical="center"/>
      <protection hidden="1"/>
    </xf>
    <xf numFmtId="178" fontId="15" fillId="16" borderId="11" xfId="0" applyNumberFormat="1" applyFont="1" applyFill="1" applyBorder="1" applyAlignment="1" applyProtection="1">
      <alignment vertical="center"/>
      <protection hidden="1"/>
    </xf>
    <xf numFmtId="178" fontId="15" fillId="16" borderId="12" xfId="0" applyNumberFormat="1" applyFont="1" applyFill="1" applyBorder="1" applyAlignment="1" applyProtection="1">
      <alignment vertical="center"/>
      <protection hidden="1"/>
    </xf>
    <xf numFmtId="178" fontId="15" fillId="16" borderId="38" xfId="0" applyNumberFormat="1" applyFont="1" applyFill="1" applyBorder="1" applyAlignment="1" applyProtection="1">
      <alignment vertical="center"/>
      <protection hidden="1"/>
    </xf>
    <xf numFmtId="186" fontId="6" fillId="9" borderId="49" xfId="0" applyNumberFormat="1" applyFont="1" applyFill="1" applyBorder="1" applyAlignment="1" applyProtection="1">
      <alignment vertical="center"/>
      <protection hidden="1"/>
    </xf>
    <xf numFmtId="2" fontId="6" fillId="9" borderId="53" xfId="0" applyNumberFormat="1" applyFont="1" applyFill="1" applyBorder="1" applyAlignment="1" applyProtection="1">
      <alignment horizontal="center" vertical="center"/>
      <protection hidden="1"/>
    </xf>
    <xf numFmtId="172" fontId="6" fillId="9" borderId="0" xfId="4" applyNumberFormat="1" applyFont="1" applyFill="1" applyBorder="1" applyAlignment="1" applyProtection="1">
      <alignment vertical="center"/>
      <protection hidden="1"/>
    </xf>
    <xf numFmtId="0" fontId="7" fillId="9" borderId="30" xfId="0" applyFont="1" applyFill="1" applyBorder="1" applyAlignment="1" applyProtection="1">
      <alignment horizontal="center" vertical="top" wrapText="1"/>
      <protection hidden="1"/>
    </xf>
    <xf numFmtId="0" fontId="7" fillId="9" borderId="103" xfId="0" applyFont="1" applyFill="1" applyBorder="1" applyAlignment="1" applyProtection="1">
      <alignment horizontal="left" vertical="top" indent="1"/>
      <protection hidden="1"/>
    </xf>
    <xf numFmtId="172" fontId="7" fillId="9" borderId="0" xfId="4" applyNumberFormat="1" applyFont="1" applyFill="1" applyBorder="1" applyAlignment="1" applyProtection="1">
      <alignment vertical="center"/>
      <protection hidden="1"/>
    </xf>
    <xf numFmtId="0" fontId="6" fillId="9" borderId="44" xfId="0" applyNumberFormat="1" applyFont="1" applyFill="1" applyBorder="1" applyProtection="1">
      <protection hidden="1"/>
    </xf>
    <xf numFmtId="0" fontId="7" fillId="9" borderId="65" xfId="0" applyFont="1" applyFill="1" applyBorder="1" applyProtection="1">
      <protection hidden="1"/>
    </xf>
    <xf numFmtId="0" fontId="6" fillId="9" borderId="65" xfId="0" applyFont="1" applyFill="1" applyBorder="1" applyProtection="1">
      <protection hidden="1"/>
    </xf>
    <xf numFmtId="0" fontId="6" fillId="9" borderId="1" xfId="0" applyFont="1" applyFill="1" applyBorder="1" applyProtection="1">
      <protection hidden="1"/>
    </xf>
    <xf numFmtId="0" fontId="6" fillId="9" borderId="104" xfId="0" applyNumberFormat="1" applyFont="1" applyFill="1" applyBorder="1" applyProtection="1">
      <protection hidden="1"/>
    </xf>
    <xf numFmtId="172" fontId="6" fillId="9" borderId="102" xfId="4" applyNumberFormat="1" applyFont="1" applyFill="1" applyBorder="1" applyAlignment="1" applyProtection="1">
      <alignment vertical="center"/>
      <protection hidden="1"/>
    </xf>
    <xf numFmtId="172" fontId="7" fillId="9" borderId="102" xfId="4" applyNumberFormat="1" applyFont="1" applyFill="1" applyBorder="1" applyAlignment="1" applyProtection="1">
      <alignment vertical="center"/>
      <protection hidden="1"/>
    </xf>
    <xf numFmtId="0" fontId="6" fillId="9" borderId="62" xfId="0" applyNumberFormat="1" applyFont="1" applyFill="1" applyBorder="1" applyProtection="1">
      <protection hidden="1"/>
    </xf>
    <xf numFmtId="0" fontId="6" fillId="9" borderId="102" xfId="0" applyFont="1" applyFill="1" applyBorder="1" applyAlignment="1" applyProtection="1">
      <alignment horizontal="center" vertical="center"/>
      <protection hidden="1"/>
    </xf>
    <xf numFmtId="0" fontId="27" fillId="9" borderId="35" xfId="0" applyFont="1" applyFill="1" applyBorder="1" applyAlignment="1" applyProtection="1">
      <alignment horizontal="center" vertical="center"/>
      <protection hidden="1"/>
    </xf>
    <xf numFmtId="0" fontId="26" fillId="9" borderId="39" xfId="0" applyFont="1" applyFill="1" applyBorder="1" applyAlignment="1" applyProtection="1">
      <alignment horizontal="left" vertical="center" indent="1"/>
      <protection hidden="1"/>
    </xf>
    <xf numFmtId="0" fontId="26" fillId="9" borderId="32" xfId="0" applyFont="1" applyFill="1" applyBorder="1" applyAlignment="1" applyProtection="1">
      <alignment horizontal="left" vertical="center" indent="1"/>
      <protection hidden="1"/>
    </xf>
    <xf numFmtId="0" fontId="28" fillId="0" borderId="10" xfId="0" applyFont="1" applyFill="1" applyBorder="1" applyAlignment="1" applyProtection="1">
      <alignment horizontal="left" vertical="center" indent="1"/>
      <protection hidden="1"/>
    </xf>
    <xf numFmtId="0" fontId="28" fillId="0" borderId="1" xfId="0" applyFont="1" applyFill="1" applyBorder="1" applyAlignment="1" applyProtection="1">
      <alignment horizontal="left" vertical="center" indent="1"/>
      <protection hidden="1"/>
    </xf>
    <xf numFmtId="0" fontId="26" fillId="9" borderId="3" xfId="0" applyFont="1" applyFill="1" applyBorder="1" applyAlignment="1" applyProtection="1">
      <alignment horizontal="left" vertical="center" indent="1"/>
      <protection hidden="1"/>
    </xf>
    <xf numFmtId="0" fontId="26" fillId="9" borderId="1" xfId="0" applyFont="1" applyFill="1" applyBorder="1" applyAlignment="1" applyProtection="1">
      <alignment horizontal="left" vertical="center" indent="1"/>
      <protection hidden="1"/>
    </xf>
    <xf numFmtId="0" fontId="27" fillId="9" borderId="45" xfId="0" applyFont="1" applyFill="1" applyBorder="1" applyAlignment="1" applyProtection="1">
      <alignment horizontal="center" vertical="center"/>
      <protection hidden="1"/>
    </xf>
    <xf numFmtId="0" fontId="26" fillId="9" borderId="105" xfId="0" applyFont="1" applyFill="1" applyBorder="1" applyAlignment="1" applyProtection="1">
      <alignment horizontal="left" vertical="center" indent="1"/>
      <protection hidden="1"/>
    </xf>
    <xf numFmtId="0" fontId="28" fillId="9" borderId="106" xfId="0" applyFont="1" applyFill="1" applyBorder="1" applyAlignment="1" applyProtection="1">
      <alignment horizontal="left" vertical="center" indent="1"/>
      <protection hidden="1"/>
    </xf>
    <xf numFmtId="0" fontId="28" fillId="9" borderId="107" xfId="0" applyFont="1" applyFill="1" applyBorder="1" applyAlignment="1" applyProtection="1">
      <alignment horizontal="center" vertical="center"/>
      <protection hidden="1"/>
    </xf>
    <xf numFmtId="0" fontId="15" fillId="9" borderId="102" xfId="0" applyFont="1" applyFill="1" applyBorder="1" applyAlignment="1" applyProtection="1">
      <alignment horizontal="center" vertical="center"/>
      <protection hidden="1"/>
    </xf>
    <xf numFmtId="0" fontId="27" fillId="0" borderId="11" xfId="0" applyFont="1" applyFill="1" applyBorder="1" applyAlignment="1" applyProtection="1">
      <alignment horizontal="center" vertical="center"/>
      <protection hidden="1"/>
    </xf>
    <xf numFmtId="0" fontId="7" fillId="4" borderId="26" xfId="0" applyFont="1" applyFill="1" applyBorder="1" applyAlignment="1" applyProtection="1">
      <alignment horizontal="center" vertical="center" wrapText="1"/>
      <protection hidden="1"/>
    </xf>
    <xf numFmtId="0" fontId="7" fillId="2" borderId="45" xfId="0" applyFont="1" applyFill="1" applyBorder="1" applyAlignment="1" applyProtection="1">
      <alignment horizontal="center" vertical="center" wrapText="1"/>
      <protection hidden="1"/>
    </xf>
    <xf numFmtId="0" fontId="6" fillId="5" borderId="102" xfId="0" applyNumberFormat="1" applyFont="1" applyFill="1" applyBorder="1" applyAlignment="1" applyProtection="1">
      <protection hidden="1"/>
    </xf>
    <xf numFmtId="0" fontId="12" fillId="5" borderId="21" xfId="0" applyNumberFormat="1" applyFont="1" applyFill="1" applyBorder="1" applyAlignment="1" applyProtection="1">
      <protection hidden="1"/>
    </xf>
    <xf numFmtId="0" fontId="12" fillId="5" borderId="58" xfId="0" applyNumberFormat="1" applyFont="1" applyFill="1" applyBorder="1" applyAlignment="1" applyProtection="1">
      <protection hidden="1"/>
    </xf>
    <xf numFmtId="172" fontId="7" fillId="5" borderId="102" xfId="0" applyNumberFormat="1" applyFont="1" applyFill="1" applyBorder="1" applyAlignment="1" applyProtection="1">
      <alignment horizontal="center" vertical="center"/>
      <protection hidden="1"/>
    </xf>
    <xf numFmtId="172" fontId="7" fillId="5" borderId="25" xfId="0" applyNumberFormat="1" applyFont="1" applyFill="1" applyBorder="1" applyAlignment="1" applyProtection="1">
      <alignment horizontal="center" vertical="center"/>
      <protection hidden="1"/>
    </xf>
    <xf numFmtId="172" fontId="7" fillId="5" borderId="5" xfId="0" applyNumberFormat="1" applyFont="1" applyFill="1" applyBorder="1" applyAlignment="1" applyProtection="1">
      <alignment horizontal="left" vertical="center" indent="1"/>
      <protection hidden="1"/>
    </xf>
    <xf numFmtId="178" fontId="7" fillId="5" borderId="4" xfId="0" applyNumberFormat="1" applyFont="1" applyFill="1" applyBorder="1" applyAlignment="1" applyProtection="1">
      <alignment vertical="center"/>
      <protection hidden="1"/>
    </xf>
    <xf numFmtId="0" fontId="7" fillId="5" borderId="3" xfId="0" applyNumberFormat="1" applyFont="1" applyFill="1" applyBorder="1" applyAlignment="1" applyProtection="1">
      <alignment horizontal="left" vertical="center" indent="1"/>
      <protection hidden="1"/>
    </xf>
    <xf numFmtId="0" fontId="7" fillId="9" borderId="39" xfId="5" applyNumberFormat="1" applyFont="1" applyFill="1" applyBorder="1" applyAlignment="1" applyProtection="1">
      <alignment horizontal="left" vertical="center" indent="1"/>
      <protection hidden="1"/>
    </xf>
    <xf numFmtId="0" fontId="7" fillId="5" borderId="34" xfId="0" applyNumberFormat="1" applyFont="1" applyFill="1" applyBorder="1" applyAlignment="1" applyProtection="1">
      <alignment horizontal="left" vertical="center" indent="1"/>
      <protection hidden="1"/>
    </xf>
    <xf numFmtId="172" fontId="7" fillId="5" borderId="31" xfId="0" applyNumberFormat="1" applyFont="1" applyFill="1" applyBorder="1" applyAlignment="1" applyProtection="1">
      <alignment horizontal="left" vertical="center" indent="1"/>
      <protection hidden="1"/>
    </xf>
    <xf numFmtId="178" fontId="6" fillId="0" borderId="33" xfId="0" applyNumberFormat="1" applyFont="1" applyFill="1" applyBorder="1" applyAlignment="1" applyProtection="1">
      <alignment vertical="center"/>
      <protection locked="0"/>
    </xf>
    <xf numFmtId="172" fontId="7" fillId="5" borderId="13" xfId="0" applyNumberFormat="1" applyFont="1" applyFill="1" applyBorder="1" applyAlignment="1" applyProtection="1">
      <alignment horizontal="left" vertical="center" indent="1"/>
      <protection hidden="1"/>
    </xf>
    <xf numFmtId="0" fontId="7" fillId="0" borderId="104" xfId="0" applyFont="1" applyFill="1" applyBorder="1" applyAlignment="1" applyProtection="1">
      <alignment vertical="top" wrapText="1"/>
      <protection hidden="1"/>
    </xf>
    <xf numFmtId="0" fontId="7" fillId="5" borderId="84" xfId="0" applyNumberFormat="1" applyFont="1" applyFill="1" applyBorder="1" applyAlignment="1" applyProtection="1">
      <alignment horizontal="centerContinuous" vertical="center"/>
      <protection hidden="1"/>
    </xf>
    <xf numFmtId="0" fontId="7" fillId="5" borderId="78" xfId="0" applyNumberFormat="1" applyFont="1" applyFill="1" applyBorder="1" applyAlignment="1" applyProtection="1">
      <alignment horizontal="centerContinuous" vertical="center"/>
      <protection hidden="1"/>
    </xf>
    <xf numFmtId="172" fontId="7" fillId="5" borderId="102" xfId="0" applyNumberFormat="1" applyFont="1" applyFill="1" applyBorder="1" applyAlignment="1" applyProtection="1">
      <alignment horizontal="center" vertical="top" wrapText="1"/>
      <protection hidden="1"/>
    </xf>
    <xf numFmtId="180" fontId="7" fillId="9" borderId="16" xfId="0" applyNumberFormat="1" applyFont="1" applyFill="1" applyBorder="1" applyAlignment="1" applyProtection="1">
      <alignment vertical="center"/>
      <protection hidden="1"/>
    </xf>
    <xf numFmtId="0" fontId="6" fillId="0" borderId="96" xfId="0" applyFont="1" applyFill="1" applyBorder="1" applyAlignment="1" applyProtection="1">
      <alignment horizontal="left" vertical="center" wrapText="1" indent="2"/>
      <protection locked="0"/>
    </xf>
    <xf numFmtId="178" fontId="6" fillId="0" borderId="1" xfId="0" applyNumberFormat="1" applyFont="1" applyFill="1" applyBorder="1" applyAlignment="1" applyProtection="1">
      <alignment vertical="center"/>
      <protection locked="0"/>
    </xf>
    <xf numFmtId="180" fontId="7" fillId="9" borderId="8" xfId="0" applyNumberFormat="1" applyFont="1" applyFill="1" applyBorder="1" applyAlignment="1" applyProtection="1">
      <alignment vertical="center"/>
      <protection hidden="1"/>
    </xf>
    <xf numFmtId="180" fontId="7" fillId="5" borderId="31" xfId="0" applyNumberFormat="1" applyFont="1" applyFill="1" applyBorder="1" applyAlignment="1" applyProtection="1">
      <alignment vertical="center"/>
      <protection hidden="1"/>
    </xf>
    <xf numFmtId="180" fontId="7" fillId="5" borderId="33" xfId="0" applyNumberFormat="1" applyFont="1" applyFill="1" applyBorder="1" applyAlignment="1" applyProtection="1">
      <alignment vertical="center"/>
      <protection hidden="1"/>
    </xf>
    <xf numFmtId="180" fontId="7" fillId="5" borderId="32" xfId="0" applyNumberFormat="1" applyFont="1" applyFill="1" applyBorder="1" applyAlignment="1" applyProtection="1">
      <alignment vertical="center"/>
      <protection hidden="1"/>
    </xf>
    <xf numFmtId="0" fontId="7" fillId="9" borderId="43" xfId="5" applyFont="1" applyFill="1" applyBorder="1" applyAlignment="1" applyProtection="1">
      <alignment horizontal="left" vertical="center" indent="1"/>
      <protection hidden="1"/>
    </xf>
    <xf numFmtId="0" fontId="7" fillId="0" borderId="104" xfId="0" applyFont="1" applyFill="1" applyBorder="1" applyAlignment="1" applyProtection="1">
      <alignment vertical="center" wrapText="1"/>
      <protection hidden="1"/>
    </xf>
    <xf numFmtId="0" fontId="7" fillId="5" borderId="12" xfId="0" applyFont="1" applyFill="1" applyBorder="1" applyAlignment="1" applyProtection="1">
      <protection hidden="1"/>
    </xf>
    <xf numFmtId="0" fontId="6" fillId="9" borderId="102" xfId="0" applyNumberFormat="1" applyFont="1" applyFill="1" applyBorder="1" applyAlignment="1" applyProtection="1">
      <protection hidden="1"/>
    </xf>
    <xf numFmtId="172" fontId="7" fillId="5" borderId="26" xfId="0" applyNumberFormat="1" applyFont="1" applyFill="1" applyBorder="1" applyAlignment="1" applyProtection="1">
      <alignment horizontal="center" vertical="top" wrapText="1"/>
      <protection hidden="1"/>
    </xf>
    <xf numFmtId="172" fontId="7" fillId="5" borderId="12" xfId="0" applyNumberFormat="1" applyFont="1" applyFill="1" applyBorder="1" applyAlignment="1" applyProtection="1">
      <alignment horizontal="center" vertical="center"/>
      <protection hidden="1"/>
    </xf>
    <xf numFmtId="172" fontId="7" fillId="5" borderId="18" xfId="0" quotePrefix="1" applyNumberFormat="1" applyFont="1" applyFill="1" applyBorder="1" applyAlignment="1" applyProtection="1">
      <alignment horizontal="center" vertical="center"/>
      <protection hidden="1"/>
    </xf>
    <xf numFmtId="178" fontId="5" fillId="0" borderId="12" xfId="0" applyNumberFormat="1" applyFont="1" applyFill="1" applyBorder="1" applyAlignment="1" applyProtection="1">
      <alignment vertical="center"/>
      <protection locked="0"/>
    </xf>
    <xf numFmtId="178" fontId="5" fillId="0" borderId="43" xfId="0" applyNumberFormat="1" applyFont="1" applyFill="1" applyBorder="1" applyAlignment="1" applyProtection="1">
      <alignment vertical="center"/>
      <protection locked="0"/>
    </xf>
    <xf numFmtId="180" fontId="17" fillId="5" borderId="26" xfId="0" applyNumberFormat="1" applyFont="1" applyFill="1" applyBorder="1" applyAlignment="1" applyProtection="1">
      <alignment vertical="center"/>
      <protection hidden="1"/>
    </xf>
    <xf numFmtId="178" fontId="7" fillId="5" borderId="43" xfId="0" applyNumberFormat="1" applyFont="1" applyFill="1" applyBorder="1" applyAlignment="1" applyProtection="1">
      <alignment vertical="center"/>
      <protection hidden="1"/>
    </xf>
    <xf numFmtId="0" fontId="6" fillId="9" borderId="102" xfId="0" applyFont="1" applyFill="1" applyBorder="1" applyAlignment="1" applyProtection="1">
      <protection hidden="1"/>
    </xf>
    <xf numFmtId="0" fontId="6" fillId="9" borderId="102" xfId="0" quotePrefix="1" applyNumberFormat="1" applyFont="1" applyFill="1" applyBorder="1" applyAlignment="1" applyProtection="1">
      <protection hidden="1"/>
    </xf>
    <xf numFmtId="0" fontId="5" fillId="5" borderId="102" xfId="0" applyNumberFormat="1" applyFont="1" applyFill="1" applyBorder="1" applyAlignment="1" applyProtection="1">
      <protection hidden="1"/>
    </xf>
    <xf numFmtId="0" fontId="6" fillId="9" borderId="0" xfId="0" applyNumberFormat="1" applyFont="1" applyFill="1" applyBorder="1" applyAlignment="1" applyProtection="1">
      <alignment vertical="center"/>
      <protection hidden="1"/>
    </xf>
    <xf numFmtId="0" fontId="15" fillId="9" borderId="0" xfId="0" applyFont="1" applyFill="1" applyBorder="1" applyAlignment="1" applyProtection="1">
      <alignment horizontal="center" vertical="center"/>
      <protection hidden="1"/>
    </xf>
    <xf numFmtId="0" fontId="29" fillId="9" borderId="0" xfId="0" applyNumberFormat="1" applyFont="1" applyFill="1" applyBorder="1" applyAlignment="1" applyProtection="1">
      <alignment horizontal="center" vertical="center"/>
      <protection hidden="1"/>
    </xf>
    <xf numFmtId="0" fontId="7" fillId="9" borderId="0" xfId="0" applyNumberFormat="1" applyFont="1" applyFill="1" applyBorder="1" applyAlignment="1" applyProtection="1">
      <alignment horizontal="center" vertical="center"/>
      <protection hidden="1"/>
    </xf>
    <xf numFmtId="0" fontId="14" fillId="10" borderId="102" xfId="0" applyFont="1" applyFill="1" applyBorder="1" applyAlignment="1" applyProtection="1">
      <alignment horizontal="center" vertical="center"/>
      <protection hidden="1"/>
    </xf>
    <xf numFmtId="172" fontId="7" fillId="5" borderId="26" xfId="0" applyNumberFormat="1" applyFont="1" applyFill="1" applyBorder="1" applyAlignment="1" applyProtection="1">
      <alignment horizontal="center" vertical="center" wrapText="1"/>
      <protection hidden="1"/>
    </xf>
    <xf numFmtId="0" fontId="7" fillId="5" borderId="12" xfId="0" applyFont="1" applyFill="1" applyBorder="1" applyAlignment="1" applyProtection="1">
      <alignment horizontal="left" vertical="top" indent="1"/>
      <protection hidden="1"/>
    </xf>
    <xf numFmtId="172" fontId="7" fillId="5" borderId="25" xfId="0" applyNumberFormat="1" applyFont="1" applyFill="1" applyBorder="1" applyAlignment="1" applyProtection="1">
      <alignment horizontal="center" vertical="center" wrapText="1"/>
      <protection hidden="1"/>
    </xf>
    <xf numFmtId="0" fontId="7" fillId="5" borderId="10" xfId="0" applyFont="1" applyFill="1" applyBorder="1" applyAlignment="1" applyProtection="1">
      <alignment horizontal="left" vertical="top" indent="1"/>
      <protection hidden="1"/>
    </xf>
    <xf numFmtId="0" fontId="6" fillId="5" borderId="102" xfId="0" applyFont="1" applyFill="1" applyBorder="1" applyProtection="1">
      <protection hidden="1"/>
    </xf>
    <xf numFmtId="172" fontId="7" fillId="5" borderId="0" xfId="0" quotePrefix="1" applyNumberFormat="1" applyFont="1" applyFill="1" applyBorder="1" applyAlignment="1" applyProtection="1">
      <alignment horizontal="center" vertical="center"/>
      <protection hidden="1"/>
    </xf>
    <xf numFmtId="180" fontId="17" fillId="5" borderId="0" xfId="0" applyNumberFormat="1" applyFont="1" applyFill="1" applyBorder="1" applyAlignment="1" applyProtection="1">
      <alignment vertical="top"/>
      <protection hidden="1"/>
    </xf>
    <xf numFmtId="0" fontId="6" fillId="9" borderId="41" xfId="0" applyFont="1" applyFill="1" applyBorder="1" applyProtection="1">
      <protection hidden="1"/>
    </xf>
    <xf numFmtId="165" fontId="19" fillId="5" borderId="10" xfId="0" applyNumberFormat="1" applyFont="1" applyFill="1" applyBorder="1" applyAlignment="1" applyProtection="1">
      <protection hidden="1"/>
    </xf>
    <xf numFmtId="0" fontId="6" fillId="5" borderId="0" xfId="0" quotePrefix="1" applyNumberFormat="1" applyFont="1" applyFill="1" applyBorder="1" applyAlignment="1" applyProtection="1">
      <protection hidden="1"/>
    </xf>
    <xf numFmtId="0" fontId="7" fillId="9" borderId="36" xfId="5" applyFont="1" applyFill="1" applyBorder="1" applyAlignment="1" applyProtection="1">
      <alignment horizontal="left" vertical="center" indent="1"/>
      <protection hidden="1"/>
    </xf>
    <xf numFmtId="0" fontId="6" fillId="9" borderId="77" xfId="0" applyFont="1" applyFill="1" applyBorder="1" applyProtection="1">
      <protection hidden="1"/>
    </xf>
    <xf numFmtId="0" fontId="6" fillId="9" borderId="52" xfId="0" applyFont="1" applyFill="1" applyBorder="1" applyProtection="1">
      <protection hidden="1"/>
    </xf>
    <xf numFmtId="0" fontId="6" fillId="5" borderId="24" xfId="0" applyFont="1" applyFill="1" applyBorder="1" applyAlignment="1" applyProtection="1">
      <alignment vertical="center"/>
      <protection hidden="1"/>
    </xf>
    <xf numFmtId="172" fontId="7" fillId="5" borderId="31" xfId="0" applyNumberFormat="1" applyFont="1" applyFill="1" applyBorder="1" applyAlignment="1" applyProtection="1">
      <alignment horizontal="center" vertical="top" wrapText="1"/>
      <protection hidden="1"/>
    </xf>
    <xf numFmtId="184" fontId="7" fillId="9" borderId="49" xfId="0" applyNumberFormat="1" applyFont="1" applyFill="1" applyBorder="1" applyAlignment="1" applyProtection="1">
      <alignment vertical="center"/>
      <protection hidden="1"/>
    </xf>
    <xf numFmtId="172" fontId="6" fillId="5" borderId="108" xfId="0" applyNumberFormat="1" applyFont="1" applyFill="1" applyBorder="1" applyProtection="1">
      <protection hidden="1"/>
    </xf>
    <xf numFmtId="0" fontId="6" fillId="5" borderId="108" xfId="0" applyFont="1" applyFill="1" applyBorder="1" applyProtection="1">
      <protection hidden="1"/>
    </xf>
    <xf numFmtId="0" fontId="6" fillId="5" borderId="109" xfId="0" applyFont="1" applyFill="1" applyBorder="1" applyProtection="1">
      <protection hidden="1"/>
    </xf>
    <xf numFmtId="172" fontId="6" fillId="5" borderId="0" xfId="0" applyNumberFormat="1" applyFont="1" applyFill="1" applyBorder="1" applyProtection="1">
      <protection hidden="1"/>
    </xf>
    <xf numFmtId="0" fontId="18" fillId="5" borderId="102" xfId="0" applyFont="1" applyFill="1" applyBorder="1" applyAlignment="1" applyProtection="1">
      <protection hidden="1"/>
    </xf>
    <xf numFmtId="0" fontId="6" fillId="9" borderId="104" xfId="0" applyFont="1" applyFill="1" applyBorder="1" applyAlignment="1" applyProtection="1">
      <alignment vertical="top"/>
      <protection hidden="1"/>
    </xf>
    <xf numFmtId="172" fontId="6" fillId="5" borderId="102" xfId="0" quotePrefix="1" applyNumberFormat="1" applyFont="1" applyFill="1" applyBorder="1" applyAlignment="1" applyProtection="1">
      <alignment horizontal="center" vertical="center"/>
      <protection hidden="1"/>
    </xf>
    <xf numFmtId="172" fontId="6" fillId="5" borderId="102" xfId="0" applyNumberFormat="1" applyFont="1" applyFill="1" applyBorder="1" applyAlignment="1" applyProtection="1">
      <alignment vertical="center"/>
      <protection hidden="1"/>
    </xf>
    <xf numFmtId="0" fontId="18" fillId="9" borderId="102" xfId="0" applyFont="1" applyFill="1" applyBorder="1" applyAlignment="1" applyProtection="1">
      <protection hidden="1"/>
    </xf>
    <xf numFmtId="0" fontId="7" fillId="5" borderId="104" xfId="0" applyFont="1" applyFill="1" applyBorder="1" applyAlignment="1" applyProtection="1">
      <alignment horizontal="center" vertical="center"/>
      <protection hidden="1"/>
    </xf>
    <xf numFmtId="172" fontId="7" fillId="5" borderId="104" xfId="0" applyNumberFormat="1" applyFont="1" applyFill="1" applyBorder="1" applyAlignment="1" applyProtection="1">
      <alignment horizontal="center" vertical="center"/>
      <protection hidden="1"/>
    </xf>
    <xf numFmtId="164" fontId="6" fillId="5" borderId="110" xfId="0" applyNumberFormat="1" applyFont="1" applyFill="1" applyBorder="1" applyAlignment="1" applyProtection="1">
      <alignment vertical="center"/>
      <protection hidden="1"/>
    </xf>
    <xf numFmtId="0" fontId="6" fillId="5" borderId="110" xfId="0" applyFont="1" applyFill="1" applyBorder="1" applyAlignment="1" applyProtection="1">
      <alignment vertical="center"/>
      <protection hidden="1"/>
    </xf>
    <xf numFmtId="0" fontId="18" fillId="5" borderId="111" xfId="0" applyFont="1" applyFill="1" applyBorder="1" applyAlignment="1" applyProtection="1">
      <protection hidden="1"/>
    </xf>
    <xf numFmtId="0" fontId="6" fillId="9" borderId="58" xfId="0" applyFont="1" applyFill="1" applyBorder="1" applyAlignment="1" applyProtection="1">
      <alignment horizontal="center"/>
      <protection hidden="1"/>
    </xf>
    <xf numFmtId="0" fontId="7" fillId="4" borderId="24" xfId="0" applyFont="1" applyFill="1" applyBorder="1" applyAlignment="1" applyProtection="1">
      <alignment horizontal="left" vertical="center" indent="1"/>
      <protection hidden="1"/>
    </xf>
    <xf numFmtId="0" fontId="7" fillId="3" borderId="10" xfId="0" applyFont="1" applyFill="1" applyBorder="1" applyAlignment="1" applyProtection="1">
      <alignment horizontal="left" vertical="center" indent="1"/>
      <protection hidden="1"/>
    </xf>
    <xf numFmtId="0" fontId="7" fillId="3" borderId="10" xfId="0" applyFont="1" applyFill="1" applyBorder="1" applyAlignment="1" applyProtection="1">
      <alignment horizontal="left" vertical="center" indent="2"/>
      <protection hidden="1"/>
    </xf>
    <xf numFmtId="0" fontId="6" fillId="3" borderId="10" xfId="0" applyFont="1" applyFill="1" applyBorder="1" applyAlignment="1" applyProtection="1">
      <alignment horizontal="left" vertical="center" indent="3"/>
      <protection hidden="1"/>
    </xf>
    <xf numFmtId="0" fontId="7" fillId="3" borderId="10" xfId="0" applyFont="1" applyFill="1" applyBorder="1" applyAlignment="1" applyProtection="1">
      <alignment horizontal="left" vertical="center" indent="3"/>
      <protection hidden="1"/>
    </xf>
    <xf numFmtId="0" fontId="7" fillId="3" borderId="34" xfId="0" applyFont="1" applyFill="1" applyBorder="1" applyAlignment="1" applyProtection="1">
      <alignment horizontal="left" vertical="center" indent="1"/>
      <protection hidden="1"/>
    </xf>
    <xf numFmtId="0" fontId="7" fillId="10" borderId="21" xfId="0" applyFont="1" applyFill="1" applyBorder="1" applyAlignment="1" applyProtection="1">
      <alignment horizontal="left" vertical="center" indent="1"/>
      <protection hidden="1"/>
    </xf>
    <xf numFmtId="0" fontId="6" fillId="10" borderId="10" xfId="0" applyFont="1" applyFill="1" applyBorder="1" applyAlignment="1" applyProtection="1">
      <alignment horizontal="left" vertical="center" indent="2"/>
      <protection hidden="1"/>
    </xf>
    <xf numFmtId="0" fontId="7" fillId="9" borderId="34" xfId="0" applyFont="1" applyFill="1" applyBorder="1" applyAlignment="1" applyProtection="1">
      <alignment horizontal="left" vertical="center" indent="2"/>
      <protection hidden="1"/>
    </xf>
    <xf numFmtId="0" fontId="7" fillId="9" borderId="46" xfId="0" applyFont="1" applyFill="1" applyBorder="1" applyAlignment="1" applyProtection="1">
      <alignment horizontal="left" vertical="center" indent="1"/>
      <protection hidden="1"/>
    </xf>
    <xf numFmtId="180" fontId="7" fillId="2" borderId="50" xfId="0" applyNumberFormat="1" applyFont="1" applyFill="1" applyBorder="1" applyAlignment="1" applyProtection="1">
      <alignment vertical="center"/>
      <protection hidden="1"/>
    </xf>
    <xf numFmtId="180" fontId="7" fillId="2" borderId="93" xfId="0" applyNumberFormat="1" applyFont="1" applyFill="1" applyBorder="1" applyAlignment="1" applyProtection="1">
      <alignment vertical="center"/>
      <protection hidden="1"/>
    </xf>
    <xf numFmtId="170" fontId="6" fillId="9" borderId="41" xfId="0" applyNumberFormat="1" applyFont="1" applyFill="1" applyBorder="1" applyAlignment="1" applyProtection="1">
      <alignment horizontal="left" vertical="center"/>
      <protection hidden="1"/>
    </xf>
    <xf numFmtId="180" fontId="7" fillId="2" borderId="72" xfId="0" applyNumberFormat="1" applyFont="1" applyFill="1" applyBorder="1" applyAlignment="1" applyProtection="1">
      <alignment vertical="center"/>
      <protection hidden="1"/>
    </xf>
    <xf numFmtId="180" fontId="7" fillId="9" borderId="56" xfId="0" applyNumberFormat="1" applyFont="1" applyFill="1" applyBorder="1" applyAlignment="1" applyProtection="1">
      <alignment vertical="center"/>
      <protection hidden="1"/>
    </xf>
    <xf numFmtId="0" fontId="7" fillId="3" borderId="26" xfId="0" applyFont="1" applyFill="1" applyBorder="1" applyAlignment="1" applyProtection="1">
      <alignment horizontal="center" vertical="top"/>
      <protection hidden="1"/>
    </xf>
    <xf numFmtId="0" fontId="6" fillId="3" borderId="12" xfId="0" applyFont="1" applyFill="1" applyBorder="1" applyProtection="1">
      <protection hidden="1"/>
    </xf>
    <xf numFmtId="178" fontId="6" fillId="0" borderId="43" xfId="0" applyNumberFormat="1" applyFont="1" applyFill="1" applyBorder="1" applyAlignment="1" applyProtection="1">
      <alignment vertical="center"/>
      <protection locked="0"/>
    </xf>
    <xf numFmtId="169" fontId="6" fillId="0" borderId="12" xfId="0" applyNumberFormat="1" applyFont="1" applyFill="1" applyBorder="1" applyAlignment="1" applyProtection="1">
      <alignment horizontal="center" vertical="center"/>
      <protection locked="0"/>
    </xf>
    <xf numFmtId="178" fontId="6" fillId="0" borderId="96" xfId="0" applyNumberFormat="1" applyFont="1" applyFill="1" applyBorder="1" applyAlignment="1" applyProtection="1">
      <alignment vertical="center"/>
      <protection locked="0"/>
    </xf>
    <xf numFmtId="180" fontId="7" fillId="2" borderId="43" xfId="0" applyNumberFormat="1" applyFont="1" applyFill="1" applyBorder="1" applyAlignment="1" applyProtection="1">
      <alignment vertical="center"/>
      <protection hidden="1"/>
    </xf>
    <xf numFmtId="169" fontId="6" fillId="3" borderId="12" xfId="0" applyNumberFormat="1" applyFont="1" applyFill="1" applyBorder="1" applyAlignment="1" applyProtection="1">
      <alignment horizontal="center" vertical="center"/>
      <protection hidden="1"/>
    </xf>
    <xf numFmtId="170" fontId="6" fillId="2" borderId="12" xfId="0" applyNumberFormat="1" applyFont="1" applyFill="1" applyBorder="1" applyAlignment="1" applyProtection="1">
      <alignment vertical="center"/>
      <protection hidden="1"/>
    </xf>
    <xf numFmtId="170" fontId="6" fillId="2" borderId="96" xfId="0" applyNumberFormat="1" applyFont="1" applyFill="1" applyBorder="1" applyAlignment="1" applyProtection="1">
      <alignment vertical="center"/>
      <protection hidden="1"/>
    </xf>
    <xf numFmtId="180" fontId="7" fillId="2" borderId="94" xfId="0" applyNumberFormat="1" applyFont="1" applyFill="1" applyBorder="1" applyAlignment="1" applyProtection="1">
      <alignment vertical="center"/>
      <protection hidden="1"/>
    </xf>
    <xf numFmtId="170" fontId="6" fillId="9" borderId="26" xfId="0" applyNumberFormat="1" applyFont="1" applyFill="1" applyBorder="1" applyAlignment="1" applyProtection="1">
      <alignment horizontal="left" vertical="center"/>
      <protection hidden="1"/>
    </xf>
    <xf numFmtId="180" fontId="7" fillId="2" borderId="18" xfId="0" applyNumberFormat="1" applyFont="1" applyFill="1" applyBorder="1" applyAlignment="1" applyProtection="1">
      <alignment vertical="center"/>
      <protection hidden="1"/>
    </xf>
    <xf numFmtId="180" fontId="7" fillId="9" borderId="59" xfId="0" applyNumberFormat="1" applyFont="1" applyFill="1" applyBorder="1" applyAlignment="1" applyProtection="1">
      <alignment vertical="center"/>
      <protection hidden="1"/>
    </xf>
    <xf numFmtId="0" fontId="6" fillId="3" borderId="21" xfId="0" applyFont="1" applyFill="1" applyBorder="1" applyAlignment="1" applyProtection="1">
      <protection hidden="1"/>
    </xf>
    <xf numFmtId="0" fontId="7" fillId="3" borderId="10" xfId="0" applyFont="1" applyFill="1" applyBorder="1" applyProtection="1">
      <protection hidden="1"/>
    </xf>
    <xf numFmtId="0" fontId="6" fillId="3" borderId="10" xfId="0" applyFont="1" applyFill="1" applyBorder="1" applyProtection="1">
      <protection hidden="1"/>
    </xf>
    <xf numFmtId="0" fontId="6" fillId="3" borderId="34" xfId="0" applyFont="1" applyFill="1" applyBorder="1" applyProtection="1">
      <protection hidden="1"/>
    </xf>
    <xf numFmtId="0" fontId="7" fillId="3" borderId="1" xfId="0" applyFont="1" applyFill="1" applyBorder="1" applyAlignment="1" applyProtection="1">
      <alignment horizontal="center" vertical="center"/>
      <protection hidden="1"/>
    </xf>
    <xf numFmtId="0" fontId="7" fillId="3" borderId="102" xfId="0" applyFont="1" applyFill="1" applyBorder="1" applyAlignment="1" applyProtection="1">
      <alignment horizontal="center" vertical="center"/>
      <protection hidden="1"/>
    </xf>
    <xf numFmtId="0" fontId="7" fillId="3" borderId="102" xfId="0" applyFont="1" applyFill="1" applyBorder="1" applyAlignment="1" applyProtection="1">
      <alignment horizontal="center" vertical="top"/>
      <protection hidden="1"/>
    </xf>
    <xf numFmtId="0" fontId="7" fillId="3" borderId="72" xfId="0" quotePrefix="1" applyFont="1" applyFill="1" applyBorder="1" applyAlignment="1" applyProtection="1">
      <alignment horizontal="center" vertical="center"/>
      <protection hidden="1"/>
    </xf>
    <xf numFmtId="0" fontId="7" fillId="3" borderId="12" xfId="0" applyFont="1" applyFill="1" applyBorder="1" applyAlignment="1" applyProtection="1">
      <alignment horizontal="center" vertical="center"/>
      <protection hidden="1"/>
    </xf>
    <xf numFmtId="0" fontId="7" fillId="3" borderId="12" xfId="0" applyFont="1" applyFill="1" applyBorder="1" applyAlignment="1" applyProtection="1">
      <alignment horizontal="center" vertical="top"/>
      <protection hidden="1"/>
    </xf>
    <xf numFmtId="0" fontId="7" fillId="3" borderId="18" xfId="0" quotePrefix="1" applyFont="1" applyFill="1" applyBorder="1" applyAlignment="1" applyProtection="1">
      <alignment horizontal="center" vertical="center"/>
      <protection hidden="1"/>
    </xf>
    <xf numFmtId="0" fontId="7" fillId="4" borderId="25" xfId="0" applyFont="1" applyFill="1" applyBorder="1" applyAlignment="1" applyProtection="1">
      <alignment horizontal="center" vertical="center" wrapText="1"/>
      <protection hidden="1"/>
    </xf>
    <xf numFmtId="185" fontId="6" fillId="0" borderId="8" xfId="0" applyNumberFormat="1" applyFont="1" applyFill="1" applyBorder="1" applyAlignment="1" applyProtection="1">
      <alignment vertical="center"/>
      <protection locked="0"/>
    </xf>
    <xf numFmtId="182" fontId="6" fillId="9" borderId="25" xfId="0" applyNumberFormat="1" applyFont="1" applyFill="1" applyBorder="1" applyAlignment="1" applyProtection="1">
      <alignment vertical="center"/>
      <protection hidden="1"/>
    </xf>
    <xf numFmtId="185" fontId="6" fillId="0" borderId="33" xfId="0" applyNumberFormat="1" applyFont="1" applyFill="1" applyBorder="1" applyAlignment="1" applyProtection="1">
      <alignment vertical="center"/>
      <protection locked="0"/>
    </xf>
    <xf numFmtId="179" fontId="7" fillId="4" borderId="16" xfId="0" applyNumberFormat="1" applyFont="1" applyFill="1" applyBorder="1" applyAlignment="1" applyProtection="1">
      <alignment vertical="center"/>
      <protection hidden="1"/>
    </xf>
    <xf numFmtId="0" fontId="6" fillId="5" borderId="0" xfId="12" quotePrefix="1" applyFont="1" applyFill="1" applyBorder="1" applyProtection="1">
      <protection hidden="1"/>
    </xf>
    <xf numFmtId="0" fontId="6" fillId="5" borderId="0" xfId="12" applyFont="1" applyFill="1" applyBorder="1" applyProtection="1">
      <protection hidden="1"/>
    </xf>
    <xf numFmtId="0" fontId="6" fillId="5" borderId="110" xfId="12" applyFont="1" applyFill="1" applyBorder="1" applyProtection="1">
      <protection hidden="1"/>
    </xf>
    <xf numFmtId="0" fontId="10" fillId="0" borderId="0" xfId="0" applyFont="1" applyAlignment="1" applyProtection="1">
      <alignment vertical="center"/>
      <protection hidden="1"/>
    </xf>
    <xf numFmtId="0" fontId="9" fillId="0" borderId="0" xfId="0" applyFont="1" applyProtection="1">
      <protection hidden="1"/>
    </xf>
    <xf numFmtId="0" fontId="10" fillId="0" borderId="0" xfId="0" applyFont="1" applyAlignment="1" applyProtection="1">
      <alignment horizontal="left" vertical="center" indent="1"/>
      <protection hidden="1"/>
    </xf>
    <xf numFmtId="0" fontId="10" fillId="0" borderId="0" xfId="0" applyFont="1" applyProtection="1">
      <protection hidden="1"/>
    </xf>
    <xf numFmtId="0" fontId="10" fillId="0" borderId="0" xfId="0" applyFont="1" applyAlignment="1" applyProtection="1">
      <alignment horizontal="center"/>
      <protection hidden="1"/>
    </xf>
    <xf numFmtId="0" fontId="9" fillId="0" borderId="0" xfId="0" applyFont="1" applyAlignment="1" applyProtection="1">
      <alignment horizontal="center"/>
      <protection hidden="1"/>
    </xf>
    <xf numFmtId="0" fontId="9" fillId="0" borderId="21" xfId="0" applyFont="1" applyBorder="1" applyProtection="1">
      <protection hidden="1"/>
    </xf>
    <xf numFmtId="0" fontId="9" fillId="0" borderId="23" xfId="0" applyFont="1" applyBorder="1" applyProtection="1">
      <protection hidden="1"/>
    </xf>
    <xf numFmtId="0" fontId="10" fillId="0" borderId="12" xfId="0" applyFont="1" applyBorder="1" applyAlignment="1" applyProtection="1">
      <alignment horizontal="left" vertical="center" indent="1"/>
      <protection hidden="1"/>
    </xf>
    <xf numFmtId="0" fontId="10" fillId="0" borderId="11" xfId="0" applyFont="1" applyBorder="1" applyAlignment="1" applyProtection="1">
      <alignment horizontal="left" vertical="center" indent="1"/>
      <protection hidden="1"/>
    </xf>
    <xf numFmtId="0" fontId="7" fillId="0" borderId="10" xfId="5" applyNumberFormat="1" applyFont="1" applyFill="1" applyBorder="1" applyAlignment="1" applyProtection="1">
      <alignment horizontal="center" vertical="top" wrapText="1"/>
      <protection hidden="1"/>
    </xf>
    <xf numFmtId="0" fontId="7" fillId="0" borderId="7" xfId="0" applyNumberFormat="1" applyFont="1" applyFill="1" applyBorder="1" applyAlignment="1" applyProtection="1">
      <alignment horizontal="center" vertical="top" wrapText="1"/>
      <protection hidden="1"/>
    </xf>
    <xf numFmtId="0" fontId="10" fillId="0" borderId="0" xfId="0" applyFont="1" applyBorder="1" applyAlignment="1" applyProtection="1">
      <alignment horizontal="center" vertical="top"/>
      <protection hidden="1"/>
    </xf>
    <xf numFmtId="175" fontId="7" fillId="0" borderId="9" xfId="5" applyNumberFormat="1" applyFont="1" applyFill="1" applyBorder="1" applyAlignment="1" applyProtection="1">
      <alignment horizontal="center" vertical="top" wrapText="1"/>
      <protection hidden="1"/>
    </xf>
    <xf numFmtId="0" fontId="7" fillId="0" borderId="7" xfId="5" applyFont="1" applyFill="1" applyBorder="1" applyAlignment="1" applyProtection="1">
      <alignment horizontal="center" vertical="top" wrapText="1"/>
      <protection hidden="1"/>
    </xf>
    <xf numFmtId="0" fontId="7" fillId="0" borderId="9" xfId="5" applyFont="1" applyFill="1" applyBorder="1" applyAlignment="1" applyProtection="1">
      <alignment horizontal="center" vertical="top" wrapText="1"/>
      <protection hidden="1"/>
    </xf>
    <xf numFmtId="0" fontId="10" fillId="0" borderId="2" xfId="0" applyFont="1" applyBorder="1" applyAlignment="1" applyProtection="1">
      <alignment horizontal="center" vertical="top"/>
      <protection hidden="1"/>
    </xf>
    <xf numFmtId="175" fontId="7" fillId="0" borderId="10" xfId="5" applyNumberFormat="1" applyFont="1" applyFill="1" applyBorder="1" applyAlignment="1" applyProtection="1">
      <alignment horizontal="center" vertical="top" wrapText="1"/>
      <protection hidden="1"/>
    </xf>
    <xf numFmtId="175" fontId="7" fillId="0" borderId="7" xfId="5" applyNumberFormat="1" applyFont="1" applyFill="1" applyBorder="1" applyAlignment="1" applyProtection="1">
      <alignment horizontal="center" vertical="top" wrapText="1"/>
      <protection hidden="1"/>
    </xf>
    <xf numFmtId="175" fontId="7" fillId="0" borderId="0" xfId="5" applyNumberFormat="1" applyFont="1" applyFill="1" applyBorder="1" applyAlignment="1" applyProtection="1">
      <alignment horizontal="center" vertical="top" wrapText="1"/>
      <protection hidden="1"/>
    </xf>
    <xf numFmtId="175" fontId="7" fillId="0" borderId="6" xfId="5" applyNumberFormat="1" applyFont="1" applyFill="1" applyBorder="1" applyAlignment="1" applyProtection="1">
      <alignment horizontal="center" vertical="top" wrapText="1"/>
      <protection hidden="1"/>
    </xf>
    <xf numFmtId="175" fontId="7" fillId="0" borderId="4" xfId="5" applyNumberFormat="1" applyFont="1" applyFill="1" applyBorder="1" applyAlignment="1" applyProtection="1">
      <alignment horizontal="center" vertical="top" wrapText="1"/>
      <protection hidden="1"/>
    </xf>
    <xf numFmtId="0" fontId="10" fillId="0" borderId="2" xfId="0" applyNumberFormat="1" applyFont="1" applyFill="1" applyBorder="1" applyAlignment="1" applyProtection="1">
      <alignment horizontal="center" vertical="top" wrapText="1"/>
      <protection hidden="1"/>
    </xf>
    <xf numFmtId="0" fontId="10" fillId="0" borderId="7" xfId="0" applyNumberFormat="1" applyFont="1" applyFill="1" applyBorder="1" applyAlignment="1" applyProtection="1">
      <alignment horizontal="center" vertical="top" wrapText="1"/>
      <protection hidden="1"/>
    </xf>
    <xf numFmtId="0" fontId="10" fillId="0" borderId="5" xfId="0" applyNumberFormat="1" applyFont="1" applyFill="1" applyBorder="1" applyAlignment="1" applyProtection="1">
      <alignment horizontal="center" vertical="top" wrapText="1"/>
      <protection hidden="1"/>
    </xf>
    <xf numFmtId="0" fontId="10" fillId="0" borderId="9" xfId="0" applyNumberFormat="1" applyFont="1" applyFill="1" applyBorder="1" applyAlignment="1" applyProtection="1">
      <alignment horizontal="center" vertical="top" wrapText="1"/>
      <protection hidden="1"/>
    </xf>
    <xf numFmtId="0" fontId="10" fillId="0" borderId="4" xfId="0" applyFont="1" applyBorder="1" applyAlignment="1" applyProtection="1">
      <alignment horizontal="left" vertical="top" indent="1"/>
      <protection hidden="1"/>
    </xf>
    <xf numFmtId="0" fontId="7" fillId="0" borderId="10" xfId="0" applyNumberFormat="1" applyFont="1" applyFill="1" applyBorder="1" applyAlignment="1" applyProtection="1">
      <alignment horizontal="center" vertical="center"/>
      <protection hidden="1"/>
    </xf>
    <xf numFmtId="0" fontId="7" fillId="0" borderId="7" xfId="0" applyNumberFormat="1" applyFont="1" applyFill="1" applyBorder="1" applyAlignment="1" applyProtection="1">
      <alignment horizontal="center" vertical="center"/>
      <protection hidden="1"/>
    </xf>
    <xf numFmtId="0" fontId="7" fillId="0" borderId="9" xfId="0" applyNumberFormat="1" applyFont="1" applyFill="1" applyBorder="1" applyAlignment="1" applyProtection="1">
      <alignment horizontal="center" vertical="center"/>
      <protection hidden="1"/>
    </xf>
    <xf numFmtId="0" fontId="7" fillId="0" borderId="7" xfId="11" applyFont="1" applyBorder="1" applyAlignment="1" applyProtection="1">
      <alignment horizontal="center" vertical="center"/>
      <protection hidden="1"/>
    </xf>
    <xf numFmtId="0" fontId="7" fillId="0" borderId="2" xfId="11" applyFont="1" applyBorder="1" applyAlignment="1" applyProtection="1">
      <alignment horizontal="center" vertical="center"/>
      <protection hidden="1"/>
    </xf>
    <xf numFmtId="0" fontId="9" fillId="0" borderId="2" xfId="0" applyFont="1" applyBorder="1" applyProtection="1">
      <protection hidden="1"/>
    </xf>
    <xf numFmtId="0" fontId="7" fillId="0" borderId="0" xfId="11" applyFont="1" applyBorder="1" applyAlignment="1" applyProtection="1">
      <alignment horizontal="center" vertical="center"/>
      <protection hidden="1"/>
    </xf>
    <xf numFmtId="0" fontId="7" fillId="0" borderId="10" xfId="12" applyFont="1" applyBorder="1" applyAlignment="1" applyProtection="1">
      <alignment horizontal="center" vertical="center"/>
      <protection hidden="1"/>
    </xf>
    <xf numFmtId="0" fontId="7" fillId="0" borderId="7" xfId="12" applyFont="1" applyBorder="1" applyAlignment="1" applyProtection="1">
      <alignment horizontal="center" vertical="center"/>
      <protection hidden="1"/>
    </xf>
    <xf numFmtId="0" fontId="7" fillId="0" borderId="9" xfId="12" applyFont="1" applyBorder="1" applyAlignment="1" applyProtection="1">
      <alignment horizontal="center" vertical="center"/>
      <protection hidden="1"/>
    </xf>
    <xf numFmtId="0" fontId="7" fillId="0" borderId="2" xfId="12" applyFont="1" applyBorder="1" applyAlignment="1" applyProtection="1">
      <alignment horizontal="center" vertical="center"/>
      <protection hidden="1"/>
    </xf>
    <xf numFmtId="0" fontId="7" fillId="0" borderId="0" xfId="12" applyFont="1" applyBorder="1" applyAlignment="1" applyProtection="1">
      <alignment horizontal="center" vertical="center"/>
      <protection hidden="1"/>
    </xf>
    <xf numFmtId="0" fontId="7" fillId="0" borderId="8" xfId="12" applyFont="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0" fillId="0" borderId="8" xfId="0" applyFont="1" applyBorder="1" applyAlignment="1" applyProtection="1">
      <alignment horizontal="center" vertical="center"/>
      <protection hidden="1"/>
    </xf>
    <xf numFmtId="0" fontId="9" fillId="0" borderId="29" xfId="0" applyFont="1" applyBorder="1" applyProtection="1">
      <protection hidden="1"/>
    </xf>
    <xf numFmtId="0" fontId="10" fillId="0" borderId="27" xfId="0" quotePrefix="1" applyFont="1" applyBorder="1" applyAlignment="1" applyProtection="1">
      <alignment horizontal="center" vertical="center"/>
      <protection hidden="1"/>
    </xf>
    <xf numFmtId="0" fontId="10" fillId="0" borderId="28" xfId="0" quotePrefix="1" applyFont="1" applyBorder="1" applyAlignment="1" applyProtection="1">
      <alignment horizontal="center" vertical="center"/>
      <protection hidden="1"/>
    </xf>
    <xf numFmtId="0" fontId="10" fillId="0" borderId="62" xfId="0" quotePrefix="1" applyFont="1" applyBorder="1" applyAlignment="1" applyProtection="1">
      <alignment horizontal="center" vertical="center"/>
      <protection hidden="1"/>
    </xf>
    <xf numFmtId="0" fontId="10" fillId="0" borderId="42" xfId="0" quotePrefix="1" applyFont="1" applyBorder="1" applyAlignment="1" applyProtection="1">
      <alignment horizontal="center" vertical="center"/>
      <protection hidden="1"/>
    </xf>
    <xf numFmtId="0" fontId="10" fillId="0" borderId="29" xfId="0" quotePrefix="1" applyFont="1" applyBorder="1" applyAlignment="1" applyProtection="1">
      <alignment horizontal="center" vertical="center"/>
      <protection hidden="1"/>
    </xf>
    <xf numFmtId="0" fontId="10" fillId="0" borderId="37" xfId="0" quotePrefix="1" applyFont="1" applyBorder="1" applyAlignment="1" applyProtection="1">
      <alignment horizontal="center" vertical="center"/>
      <protection hidden="1"/>
    </xf>
    <xf numFmtId="174" fontId="9" fillId="0" borderId="3" xfId="0" applyNumberFormat="1" applyFont="1" applyBorder="1" applyProtection="1">
      <protection hidden="1"/>
    </xf>
    <xf numFmtId="0" fontId="9" fillId="0" borderId="45" xfId="0" applyFont="1" applyFill="1" applyBorder="1" applyAlignment="1" applyProtection="1">
      <alignment horizontal="left" indent="1"/>
      <protection hidden="1"/>
    </xf>
    <xf numFmtId="175" fontId="9" fillId="0" borderId="71" xfId="0" applyNumberFormat="1" applyFont="1" applyBorder="1" applyProtection="1">
      <protection hidden="1"/>
    </xf>
    <xf numFmtId="175" fontId="9" fillId="0" borderId="5" xfId="0" applyNumberFormat="1" applyFont="1" applyBorder="1" applyProtection="1">
      <protection hidden="1"/>
    </xf>
    <xf numFmtId="175" fontId="9" fillId="0" borderId="44" xfId="0" applyNumberFormat="1" applyFont="1" applyBorder="1" applyProtection="1">
      <protection hidden="1"/>
    </xf>
    <xf numFmtId="175" fontId="6" fillId="0" borderId="5" xfId="11" applyNumberFormat="1" applyFont="1" applyFill="1" applyBorder="1" applyAlignment="1" applyProtection="1">
      <protection hidden="1"/>
    </xf>
    <xf numFmtId="175" fontId="10" fillId="0" borderId="2" xfId="0" applyNumberFormat="1" applyFont="1" applyBorder="1" applyProtection="1">
      <protection hidden="1"/>
    </xf>
    <xf numFmtId="175" fontId="6" fillId="0" borderId="0" xfId="11" applyNumberFormat="1" applyFont="1" applyFill="1" applyBorder="1" applyAlignment="1" applyProtection="1">
      <protection hidden="1"/>
    </xf>
    <xf numFmtId="175" fontId="6" fillId="0" borderId="6" xfId="12" applyNumberFormat="1" applyFont="1" applyBorder="1" applyProtection="1">
      <protection hidden="1"/>
    </xf>
    <xf numFmtId="175" fontId="6" fillId="0" borderId="7" xfId="12" applyNumberFormat="1" applyFont="1" applyBorder="1" applyProtection="1">
      <protection hidden="1"/>
    </xf>
    <xf numFmtId="175" fontId="7" fillId="0" borderId="9" xfId="12" applyNumberFormat="1" applyFont="1" applyFill="1" applyBorder="1" applyAlignment="1" applyProtection="1">
      <protection hidden="1"/>
    </xf>
    <xf numFmtId="175" fontId="6" fillId="0" borderId="6" xfId="11" applyNumberFormat="1" applyFont="1" applyFill="1" applyBorder="1" applyAlignment="1" applyProtection="1">
      <protection hidden="1"/>
    </xf>
    <xf numFmtId="175" fontId="6" fillId="0" borderId="7" xfId="11" applyNumberFormat="1" applyFont="1" applyFill="1" applyBorder="1" applyAlignment="1" applyProtection="1">
      <protection hidden="1"/>
    </xf>
    <xf numFmtId="175" fontId="6" fillId="0" borderId="7" xfId="12" applyNumberFormat="1" applyFont="1" applyFill="1" applyBorder="1" applyProtection="1">
      <protection hidden="1"/>
    </xf>
    <xf numFmtId="175" fontId="7" fillId="0" borderId="8" xfId="12" applyNumberFormat="1" applyFont="1" applyFill="1" applyBorder="1" applyAlignment="1" applyProtection="1">
      <protection hidden="1"/>
    </xf>
    <xf numFmtId="174" fontId="9" fillId="0" borderId="1" xfId="12" applyNumberFormat="1" applyFont="1" applyFill="1" applyBorder="1" applyProtection="1">
      <protection hidden="1"/>
    </xf>
    <xf numFmtId="174" fontId="9" fillId="0" borderId="5" xfId="12" applyNumberFormat="1" applyFont="1" applyFill="1" applyBorder="1" applyProtection="1">
      <protection hidden="1"/>
    </xf>
    <xf numFmtId="174" fontId="9" fillId="0" borderId="5" xfId="0" applyNumberFormat="1" applyFont="1" applyBorder="1" applyProtection="1">
      <protection hidden="1"/>
    </xf>
    <xf numFmtId="174" fontId="9" fillId="0" borderId="65" xfId="12" applyNumberFormat="1" applyFont="1" applyFill="1" applyBorder="1" applyProtection="1">
      <protection hidden="1"/>
    </xf>
    <xf numFmtId="174" fontId="9" fillId="0" borderId="44" xfId="12" applyNumberFormat="1" applyFont="1" applyFill="1" applyBorder="1" applyProtection="1">
      <protection hidden="1"/>
    </xf>
    <xf numFmtId="174" fontId="9" fillId="0" borderId="8" xfId="0" applyNumberFormat="1" applyFont="1" applyBorder="1" applyProtection="1">
      <protection hidden="1"/>
    </xf>
    <xf numFmtId="174" fontId="9" fillId="0" borderId="10" xfId="0" applyNumberFormat="1" applyFont="1" applyBorder="1" applyProtection="1">
      <protection hidden="1"/>
    </xf>
    <xf numFmtId="0" fontId="9" fillId="0" borderId="11" xfId="0" applyFont="1" applyFill="1" applyBorder="1" applyAlignment="1" applyProtection="1">
      <alignment horizontal="left" indent="1"/>
      <protection hidden="1"/>
    </xf>
    <xf numFmtId="175" fontId="9" fillId="0" borderId="6" xfId="0" applyNumberFormat="1" applyFont="1" applyBorder="1" applyProtection="1">
      <protection hidden="1"/>
    </xf>
    <xf numFmtId="175" fontId="9" fillId="0" borderId="7" xfId="0" applyNumberFormat="1" applyFont="1" applyBorder="1" applyProtection="1">
      <protection hidden="1"/>
    </xf>
    <xf numFmtId="175" fontId="9" fillId="0" borderId="9" xfId="0" applyNumberFormat="1" applyFont="1" applyBorder="1" applyProtection="1">
      <protection hidden="1"/>
    </xf>
    <xf numFmtId="174" fontId="9" fillId="0" borderId="2" xfId="12" applyNumberFormat="1" applyFont="1" applyFill="1" applyBorder="1" applyProtection="1">
      <protection hidden="1"/>
    </xf>
    <xf numFmtId="174" fontId="9" fillId="0" borderId="7" xfId="12" applyNumberFormat="1" applyFont="1" applyFill="1" applyBorder="1" applyProtection="1">
      <protection hidden="1"/>
    </xf>
    <xf numFmtId="174" fontId="9" fillId="0" borderId="7" xfId="0" applyNumberFormat="1" applyFont="1" applyBorder="1" applyProtection="1">
      <protection hidden="1"/>
    </xf>
    <xf numFmtId="174" fontId="9" fillId="0" borderId="0" xfId="12" applyNumberFormat="1" applyFont="1" applyFill="1" applyBorder="1" applyProtection="1">
      <protection hidden="1"/>
    </xf>
    <xf numFmtId="174" fontId="9" fillId="0" borderId="9" xfId="12" applyNumberFormat="1" applyFont="1" applyFill="1" applyBorder="1" applyProtection="1">
      <protection hidden="1"/>
    </xf>
    <xf numFmtId="175" fontId="6" fillId="0" borderId="7" xfId="5" applyNumberFormat="1" applyFont="1" applyFill="1" applyBorder="1" applyAlignment="1" applyProtection="1">
      <protection hidden="1"/>
    </xf>
    <xf numFmtId="175" fontId="6" fillId="0" borderId="6" xfId="12" applyNumberFormat="1" applyFont="1" applyFill="1" applyBorder="1" applyAlignment="1" applyProtection="1">
      <protection hidden="1"/>
    </xf>
    <xf numFmtId="175" fontId="6" fillId="0" borderId="6" xfId="12" applyNumberFormat="1" applyFont="1" applyFill="1" applyBorder="1" applyProtection="1">
      <protection hidden="1"/>
    </xf>
    <xf numFmtId="0" fontId="9" fillId="0" borderId="11" xfId="8" applyNumberFormat="1" applyFont="1" applyBorder="1" applyAlignment="1" applyProtection="1">
      <alignment horizontal="left" indent="1"/>
      <protection hidden="1"/>
    </xf>
    <xf numFmtId="0" fontId="9" fillId="0" borderId="34" xfId="0" applyFont="1" applyBorder="1" applyProtection="1">
      <protection hidden="1"/>
    </xf>
    <xf numFmtId="0" fontId="10" fillId="0" borderId="17" xfId="0" applyFont="1" applyFill="1" applyBorder="1" applyAlignment="1" applyProtection="1">
      <alignment horizontal="left" vertical="center" indent="1"/>
      <protection hidden="1"/>
    </xf>
    <xf numFmtId="175" fontId="10" fillId="0" borderId="15" xfId="0" applyNumberFormat="1" applyFont="1" applyBorder="1" applyAlignment="1" applyProtection="1">
      <alignment vertical="center"/>
      <protection hidden="1"/>
    </xf>
    <xf numFmtId="175" fontId="10" fillId="0" borderId="13" xfId="0" applyNumberFormat="1" applyFont="1" applyBorder="1" applyAlignment="1" applyProtection="1">
      <alignment vertical="center"/>
      <protection hidden="1"/>
    </xf>
    <xf numFmtId="175" fontId="10" fillId="0" borderId="14" xfId="0" applyNumberFormat="1" applyFont="1" applyBorder="1" applyAlignment="1" applyProtection="1">
      <alignment vertical="center"/>
      <protection hidden="1"/>
    </xf>
    <xf numFmtId="175" fontId="10" fillId="0" borderId="64" xfId="0" applyNumberFormat="1" applyFont="1" applyBorder="1" applyAlignment="1" applyProtection="1">
      <alignment vertical="center"/>
      <protection hidden="1"/>
    </xf>
    <xf numFmtId="175" fontId="10" fillId="0" borderId="16" xfId="0" applyNumberFormat="1" applyFont="1" applyBorder="1" applyAlignment="1" applyProtection="1">
      <alignment vertical="center"/>
      <protection hidden="1"/>
    </xf>
    <xf numFmtId="174" fontId="10" fillId="0" borderId="72" xfId="12" applyNumberFormat="1" applyFont="1" applyFill="1" applyBorder="1" applyAlignment="1" applyProtection="1">
      <alignment vertical="center"/>
      <protection hidden="1"/>
    </xf>
    <xf numFmtId="174" fontId="10" fillId="0" borderId="13" xfId="12" applyNumberFormat="1" applyFont="1" applyFill="1" applyBorder="1" applyAlignment="1" applyProtection="1">
      <alignment vertical="center"/>
      <protection hidden="1"/>
    </xf>
    <xf numFmtId="174" fontId="10" fillId="0" borderId="14" xfId="12" applyNumberFormat="1" applyFont="1" applyFill="1" applyBorder="1" applyAlignment="1" applyProtection="1">
      <alignment vertical="center"/>
      <protection hidden="1"/>
    </xf>
    <xf numFmtId="174" fontId="10" fillId="0" borderId="16" xfId="12" applyNumberFormat="1" applyFont="1" applyFill="1" applyBorder="1" applyAlignment="1" applyProtection="1">
      <alignment vertical="center"/>
      <protection hidden="1"/>
    </xf>
    <xf numFmtId="0" fontId="9" fillId="0" borderId="0" xfId="0" applyFont="1" applyBorder="1" applyProtection="1">
      <protection hidden="1"/>
    </xf>
    <xf numFmtId="0" fontId="9" fillId="0" borderId="0" xfId="0" applyFont="1" applyBorder="1" applyAlignment="1" applyProtection="1">
      <alignment horizontal="left" indent="1"/>
      <protection hidden="1"/>
    </xf>
    <xf numFmtId="175" fontId="9" fillId="0" borderId="0" xfId="0" applyNumberFormat="1" applyFont="1" applyBorder="1" applyProtection="1">
      <protection hidden="1"/>
    </xf>
    <xf numFmtId="184" fontId="9" fillId="0" borderId="0" xfId="11" applyNumberFormat="1" applyFont="1" applyFill="1" applyBorder="1" applyAlignment="1" applyProtection="1">
      <protection hidden="1"/>
    </xf>
    <xf numFmtId="175" fontId="9" fillId="0" borderId="0" xfId="0" applyNumberFormat="1" applyFont="1" applyAlignment="1" applyProtection="1">
      <protection hidden="1"/>
    </xf>
    <xf numFmtId="175" fontId="6" fillId="0" borderId="58" xfId="11" applyNumberFormat="1" applyFont="1" applyFill="1" applyBorder="1" applyAlignment="1" applyProtection="1">
      <protection hidden="1"/>
    </xf>
    <xf numFmtId="175" fontId="6" fillId="0" borderId="58" xfId="12" applyNumberFormat="1" applyFont="1" applyBorder="1" applyAlignment="1" applyProtection="1">
      <protection hidden="1"/>
    </xf>
    <xf numFmtId="175" fontId="6" fillId="0" borderId="58" xfId="12" applyNumberFormat="1" applyFont="1" applyFill="1" applyBorder="1" applyAlignment="1" applyProtection="1">
      <protection hidden="1"/>
    </xf>
    <xf numFmtId="174" fontId="9" fillId="0" borderId="58" xfId="12" applyNumberFormat="1" applyFont="1" applyFill="1" applyBorder="1" applyAlignment="1" applyProtection="1">
      <protection hidden="1"/>
    </xf>
    <xf numFmtId="174" fontId="9" fillId="0" borderId="58" xfId="12" applyNumberFormat="1" applyFont="1" applyBorder="1" applyAlignment="1" applyProtection="1">
      <protection hidden="1"/>
    </xf>
    <xf numFmtId="174" fontId="9" fillId="0" borderId="58" xfId="0" applyNumberFormat="1" applyFont="1" applyBorder="1" applyAlignment="1" applyProtection="1">
      <protection hidden="1"/>
    </xf>
    <xf numFmtId="175" fontId="9" fillId="0" borderId="0" xfId="0" applyNumberFormat="1" applyFont="1" applyProtection="1">
      <protection hidden="1"/>
    </xf>
    <xf numFmtId="0" fontId="9" fillId="0" borderId="0" xfId="0" applyNumberFormat="1" applyFont="1" applyBorder="1" applyProtection="1">
      <protection hidden="1"/>
    </xf>
    <xf numFmtId="0" fontId="9" fillId="0" borderId="0" xfId="11" applyNumberFormat="1" applyFont="1" applyFill="1" applyBorder="1" applyAlignment="1" applyProtection="1">
      <protection hidden="1"/>
    </xf>
    <xf numFmtId="0" fontId="9" fillId="0" borderId="0" xfId="12" applyNumberFormat="1" applyFont="1" applyFill="1" applyBorder="1" applyAlignment="1" applyProtection="1">
      <protection hidden="1"/>
    </xf>
    <xf numFmtId="0" fontId="9" fillId="0" borderId="0" xfId="0" applyFont="1" applyBorder="1" applyAlignment="1" applyProtection="1">
      <protection hidden="1"/>
    </xf>
    <xf numFmtId="175" fontId="10" fillId="0" borderId="0" xfId="11" applyNumberFormat="1" applyFont="1" applyFill="1" applyBorder="1" applyAlignment="1" applyProtection="1">
      <protection hidden="1"/>
    </xf>
    <xf numFmtId="0" fontId="9" fillId="0" borderId="58" xfId="0" applyFont="1" applyBorder="1" applyProtection="1">
      <protection hidden="1"/>
    </xf>
    <xf numFmtId="0" fontId="9" fillId="0" borderId="36" xfId="0" applyFont="1" applyBorder="1" applyProtection="1">
      <protection hidden="1"/>
    </xf>
    <xf numFmtId="0" fontId="9" fillId="0" borderId="42" xfId="0" applyFont="1" applyBorder="1" applyProtection="1">
      <protection hidden="1"/>
    </xf>
    <xf numFmtId="0" fontId="9" fillId="0" borderId="0" xfId="0" applyFont="1" applyFill="1" applyBorder="1" applyAlignment="1" applyProtection="1">
      <alignment horizontal="left" indent="1"/>
      <protection hidden="1"/>
    </xf>
    <xf numFmtId="177" fontId="9" fillId="0" borderId="5" xfId="0" applyNumberFormat="1" applyFont="1" applyBorder="1" applyAlignment="1" applyProtection="1">
      <alignment horizontal="center"/>
      <protection hidden="1"/>
    </xf>
    <xf numFmtId="177" fontId="9" fillId="0" borderId="7" xfId="0" applyNumberFormat="1" applyFont="1" applyBorder="1" applyAlignment="1" applyProtection="1">
      <alignment horizontal="center"/>
      <protection hidden="1"/>
    </xf>
    <xf numFmtId="0" fontId="9" fillId="0" borderId="0" xfId="8" applyNumberFormat="1" applyFont="1" applyBorder="1" applyAlignment="1" applyProtection="1">
      <alignment horizontal="left" indent="1"/>
      <protection hidden="1"/>
    </xf>
    <xf numFmtId="0" fontId="9" fillId="0" borderId="2" xfId="0" applyFont="1" applyFill="1" applyBorder="1" applyAlignment="1" applyProtection="1">
      <alignment horizontal="left" indent="1"/>
      <protection hidden="1"/>
    </xf>
    <xf numFmtId="169" fontId="9" fillId="0" borderId="34" xfId="0" applyNumberFormat="1" applyFont="1" applyBorder="1" applyAlignment="1" applyProtection="1">
      <alignment vertical="center"/>
      <protection hidden="1"/>
    </xf>
    <xf numFmtId="0" fontId="9" fillId="0" borderId="64" xfId="0" applyFont="1" applyFill="1" applyBorder="1" applyAlignment="1" applyProtection="1">
      <alignment horizontal="left" vertical="center" indent="1"/>
      <protection hidden="1"/>
    </xf>
    <xf numFmtId="177" fontId="9" fillId="0" borderId="13" xfId="0" applyNumberFormat="1" applyFont="1" applyBorder="1" applyAlignment="1" applyProtection="1">
      <alignment horizontal="center" vertical="center"/>
      <protection hidden="1"/>
    </xf>
    <xf numFmtId="177" fontId="9" fillId="0" borderId="13" xfId="0" applyNumberFormat="1" applyFont="1" applyBorder="1" applyAlignment="1" applyProtection="1">
      <alignment horizontal="center"/>
      <protection hidden="1"/>
    </xf>
    <xf numFmtId="0" fontId="9" fillId="0" borderId="0" xfId="0" applyNumberFormat="1" applyFont="1" applyAlignment="1" applyProtection="1">
      <protection hidden="1"/>
    </xf>
    <xf numFmtId="0" fontId="9" fillId="0" borderId="0" xfId="0" applyNumberFormat="1" applyFont="1" applyFill="1" applyBorder="1" applyAlignment="1" applyProtection="1">
      <protection hidden="1"/>
    </xf>
    <xf numFmtId="0" fontId="9" fillId="0" borderId="41" xfId="0" applyFont="1" applyBorder="1" applyProtection="1">
      <protection hidden="1"/>
    </xf>
    <xf numFmtId="0" fontId="9" fillId="0" borderId="10" xfId="0" applyFont="1" applyBorder="1" applyProtection="1">
      <protection hidden="1"/>
    </xf>
    <xf numFmtId="0" fontId="10" fillId="0" borderId="2" xfId="0" applyFont="1" applyBorder="1" applyAlignment="1" applyProtection="1">
      <alignment horizontal="left" vertical="center" indent="1"/>
      <protection hidden="1"/>
    </xf>
    <xf numFmtId="0" fontId="10" fillId="0" borderId="0" xfId="0"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10" fillId="0" borderId="71" xfId="0" applyFont="1" applyBorder="1" applyAlignment="1" applyProtection="1">
      <alignment horizontal="center" vertical="center"/>
      <protection hidden="1"/>
    </xf>
    <xf numFmtId="0" fontId="9" fillId="0" borderId="10" xfId="0" applyFont="1" applyBorder="1" applyAlignment="1" applyProtection="1">
      <protection hidden="1"/>
    </xf>
    <xf numFmtId="0" fontId="10" fillId="0" borderId="2" xfId="0" applyFont="1" applyBorder="1" applyAlignment="1" applyProtection="1">
      <alignment horizontal="left" vertical="top" indent="1"/>
      <protection hidden="1"/>
    </xf>
    <xf numFmtId="0" fontId="10" fillId="0" borderId="6" xfId="0" applyFont="1" applyBorder="1" applyAlignment="1" applyProtection="1">
      <alignment horizontal="center" vertical="center"/>
      <protection hidden="1"/>
    </xf>
    <xf numFmtId="0" fontId="9" fillId="0" borderId="36" xfId="0" applyFont="1" applyBorder="1" applyAlignment="1" applyProtection="1">
      <protection hidden="1"/>
    </xf>
    <xf numFmtId="0" fontId="10" fillId="0" borderId="0" xfId="0" quotePrefix="1" applyFont="1" applyBorder="1" applyAlignment="1" applyProtection="1">
      <alignment horizontal="center" vertical="center"/>
      <protection hidden="1"/>
    </xf>
    <xf numFmtId="0" fontId="10" fillId="0" borderId="9" xfId="8" quotePrefix="1" applyFont="1" applyBorder="1" applyAlignment="1" applyProtection="1">
      <alignment horizontal="center" vertical="center"/>
      <protection hidden="1"/>
    </xf>
    <xf numFmtId="0" fontId="10" fillId="0" borderId="62" xfId="8" quotePrefix="1" applyFont="1" applyBorder="1" applyAlignment="1" applyProtection="1">
      <alignment horizontal="center" vertical="center"/>
      <protection hidden="1"/>
    </xf>
    <xf numFmtId="0" fontId="10" fillId="0" borderId="28" xfId="8" quotePrefix="1" applyFont="1" applyBorder="1" applyAlignment="1" applyProtection="1">
      <alignment horizontal="center" vertical="center"/>
      <protection hidden="1"/>
    </xf>
    <xf numFmtId="0" fontId="10" fillId="0" borderId="42" xfId="8" quotePrefix="1" applyFont="1" applyBorder="1" applyAlignment="1" applyProtection="1">
      <alignment horizontal="center" vertical="center"/>
      <protection hidden="1"/>
    </xf>
    <xf numFmtId="0" fontId="10" fillId="0" borderId="60" xfId="8" quotePrefix="1" applyFont="1" applyBorder="1" applyAlignment="1" applyProtection="1">
      <alignment horizontal="center" vertical="center"/>
      <protection hidden="1"/>
    </xf>
    <xf numFmtId="0" fontId="10" fillId="0" borderId="29" xfId="8" quotePrefix="1" applyFont="1" applyBorder="1" applyAlignment="1" applyProtection="1">
      <alignment horizontal="center" vertical="center"/>
      <protection hidden="1"/>
    </xf>
    <xf numFmtId="0" fontId="10" fillId="0" borderId="36" xfId="8" quotePrefix="1" applyFont="1" applyBorder="1" applyAlignment="1" applyProtection="1">
      <alignment horizontal="center" vertical="center"/>
      <protection hidden="1"/>
    </xf>
    <xf numFmtId="170" fontId="9" fillId="0" borderId="10" xfId="0" applyNumberFormat="1" applyFont="1" applyBorder="1" applyProtection="1">
      <protection hidden="1"/>
    </xf>
    <xf numFmtId="0" fontId="9" fillId="0" borderId="9" xfId="0" applyFont="1" applyBorder="1" applyProtection="1">
      <protection hidden="1"/>
    </xf>
    <xf numFmtId="0" fontId="9" fillId="0" borderId="7" xfId="0" applyFont="1" applyBorder="1" applyProtection="1">
      <protection hidden="1"/>
    </xf>
    <xf numFmtId="0" fontId="9" fillId="0" borderId="6" xfId="0" applyFont="1" applyBorder="1" applyProtection="1">
      <protection hidden="1"/>
    </xf>
    <xf numFmtId="0" fontId="9" fillId="0" borderId="8" xfId="0" applyFont="1" applyBorder="1" applyProtection="1">
      <protection hidden="1"/>
    </xf>
    <xf numFmtId="182" fontId="9" fillId="0" borderId="34" xfId="0" applyNumberFormat="1" applyFont="1" applyBorder="1" applyAlignment="1" applyProtection="1">
      <alignment vertical="center"/>
      <protection hidden="1"/>
    </xf>
    <xf numFmtId="0" fontId="10" fillId="0" borderId="72" xfId="0" applyFont="1" applyBorder="1" applyAlignment="1" applyProtection="1">
      <alignment horizontal="left" vertical="center" indent="1"/>
      <protection hidden="1"/>
    </xf>
    <xf numFmtId="0" fontId="9" fillId="0" borderId="0" xfId="0" applyFont="1" applyAlignment="1" applyProtection="1">
      <alignment horizontal="left" indent="1"/>
      <protection hidden="1"/>
    </xf>
    <xf numFmtId="0" fontId="8" fillId="0" borderId="41" xfId="0" applyFont="1" applyBorder="1" applyProtection="1">
      <protection hidden="1"/>
    </xf>
    <xf numFmtId="0" fontId="11" fillId="0" borderId="5" xfId="0" applyFont="1" applyBorder="1" applyAlignment="1" applyProtection="1">
      <alignment horizontal="center" vertical="center"/>
      <protection hidden="1"/>
    </xf>
    <xf numFmtId="0" fontId="10" fillId="0" borderId="44" xfId="0" applyFont="1" applyBorder="1" applyAlignment="1" applyProtection="1">
      <alignment horizontal="center" vertical="center"/>
      <protection hidden="1"/>
    </xf>
    <xf numFmtId="0" fontId="11" fillId="0" borderId="2" xfId="0" applyFont="1" applyBorder="1" applyAlignment="1" applyProtection="1">
      <alignment horizontal="left" vertical="top" indent="1"/>
      <protection hidden="1"/>
    </xf>
    <xf numFmtId="0" fontId="11" fillId="0" borderId="7" xfId="0" applyFont="1" applyBorder="1" applyAlignment="1" applyProtection="1">
      <alignment horizontal="center" vertical="center"/>
      <protection hidden="1"/>
    </xf>
    <xf numFmtId="0" fontId="11" fillId="0" borderId="9" xfId="0" applyFont="1" applyBorder="1" applyAlignment="1" applyProtection="1">
      <alignment horizontal="center" vertical="center"/>
      <protection hidden="1"/>
    </xf>
    <xf numFmtId="0" fontId="8" fillId="0" borderId="42" xfId="0" applyFont="1" applyBorder="1" applyProtection="1">
      <protection hidden="1"/>
    </xf>
    <xf numFmtId="0" fontId="11" fillId="0" borderId="62" xfId="0" quotePrefix="1" applyFont="1" applyBorder="1" applyAlignment="1" applyProtection="1">
      <alignment horizontal="center" vertical="center"/>
      <protection hidden="1"/>
    </xf>
    <xf numFmtId="0" fontId="11" fillId="0" borderId="62" xfId="8" quotePrefix="1" applyFont="1" applyBorder="1" applyAlignment="1" applyProtection="1">
      <alignment horizontal="center" vertical="center"/>
      <protection hidden="1"/>
    </xf>
    <xf numFmtId="0" fontId="8" fillId="0" borderId="9" xfId="0" applyFont="1" applyBorder="1" applyProtection="1">
      <protection hidden="1"/>
    </xf>
    <xf numFmtId="0" fontId="8" fillId="0" borderId="10" xfId="0" applyFont="1" applyBorder="1" applyProtection="1">
      <protection hidden="1"/>
    </xf>
    <xf numFmtId="0" fontId="8" fillId="0" borderId="8" xfId="0" applyFont="1" applyBorder="1" applyProtection="1">
      <protection hidden="1"/>
    </xf>
    <xf numFmtId="0" fontId="8" fillId="0" borderId="0" xfId="0" applyFont="1" applyProtection="1">
      <protection hidden="1"/>
    </xf>
    <xf numFmtId="0" fontId="6" fillId="17" borderId="0" xfId="0" applyFont="1" applyFill="1" applyProtection="1">
      <protection hidden="1"/>
    </xf>
    <xf numFmtId="0" fontId="6" fillId="17" borderId="0" xfId="4" applyFont="1" applyFill="1" applyProtection="1">
      <protection hidden="1"/>
    </xf>
    <xf numFmtId="0" fontId="6" fillId="17" borderId="0" xfId="4" applyFont="1" applyFill="1" applyBorder="1" applyProtection="1">
      <protection hidden="1"/>
    </xf>
    <xf numFmtId="0" fontId="6" fillId="17" borderId="0" xfId="4" applyFont="1" applyFill="1" applyAlignment="1" applyProtection="1">
      <alignment vertical="top"/>
      <protection hidden="1"/>
    </xf>
    <xf numFmtId="0" fontId="6" fillId="17" borderId="0" xfId="4" applyFont="1" applyFill="1" applyAlignment="1" applyProtection="1">
      <protection hidden="1"/>
    </xf>
    <xf numFmtId="170" fontId="6" fillId="17" borderId="0" xfId="0" applyNumberFormat="1" applyFont="1" applyFill="1" applyBorder="1" applyAlignment="1" applyProtection="1">
      <alignment vertical="center"/>
      <protection hidden="1"/>
    </xf>
    <xf numFmtId="170" fontId="6" fillId="17" borderId="0" xfId="0" applyNumberFormat="1" applyFont="1" applyFill="1" applyBorder="1" applyProtection="1">
      <protection hidden="1"/>
    </xf>
    <xf numFmtId="0" fontId="6" fillId="17" borderId="0" xfId="0" applyFont="1" applyFill="1" applyBorder="1" applyProtection="1">
      <protection hidden="1"/>
    </xf>
    <xf numFmtId="182" fontId="6" fillId="17" borderId="0" xfId="0" applyNumberFormat="1" applyFont="1" applyFill="1" applyBorder="1" applyAlignment="1" applyProtection="1">
      <alignment vertical="center"/>
      <protection hidden="1"/>
    </xf>
    <xf numFmtId="0" fontId="7" fillId="17" borderId="0" xfId="0" applyFont="1" applyFill="1" applyAlignment="1" applyProtection="1">
      <alignment horizontal="center" vertical="top" wrapText="1"/>
      <protection hidden="1"/>
    </xf>
    <xf numFmtId="0" fontId="7" fillId="17" borderId="0" xfId="0" applyFont="1" applyFill="1" applyProtection="1">
      <protection hidden="1"/>
    </xf>
    <xf numFmtId="0" fontId="6" fillId="17" borderId="0" xfId="0" applyFont="1" applyFill="1" applyAlignment="1" applyProtection="1">
      <alignment horizontal="center" vertical="center"/>
      <protection hidden="1"/>
    </xf>
    <xf numFmtId="0" fontId="6" fillId="17" borderId="0" xfId="0" quotePrefix="1" applyFont="1" applyFill="1" applyAlignment="1" applyProtection="1">
      <alignment horizontal="center" vertical="center"/>
      <protection hidden="1"/>
    </xf>
    <xf numFmtId="0" fontId="7" fillId="17" borderId="0" xfId="0" applyFont="1" applyFill="1" applyAlignment="1" applyProtection="1">
      <alignment vertical="top" wrapText="1"/>
      <protection hidden="1"/>
    </xf>
    <xf numFmtId="0" fontId="6" fillId="17" borderId="0" xfId="0" applyFont="1" applyFill="1" applyAlignment="1" applyProtection="1">
      <protection hidden="1"/>
    </xf>
    <xf numFmtId="0" fontId="6" fillId="17" borderId="0" xfId="0" applyFont="1" applyFill="1" applyBorder="1" applyAlignment="1" applyProtection="1">
      <protection hidden="1"/>
    </xf>
    <xf numFmtId="187" fontId="6" fillId="17" borderId="0" xfId="0" applyNumberFormat="1" applyFont="1" applyFill="1" applyProtection="1">
      <protection hidden="1"/>
    </xf>
    <xf numFmtId="0" fontId="6" fillId="17" borderId="0" xfId="9" applyFont="1" applyFill="1" applyProtection="1">
      <protection hidden="1"/>
    </xf>
    <xf numFmtId="0" fontId="6" fillId="17" borderId="0" xfId="9" applyFont="1" applyFill="1" applyAlignment="1" applyProtection="1">
      <alignment horizontal="center"/>
      <protection hidden="1"/>
    </xf>
    <xf numFmtId="0" fontId="6" fillId="17" borderId="0" xfId="9" applyFont="1" applyFill="1" applyAlignment="1" applyProtection="1">
      <protection hidden="1"/>
    </xf>
    <xf numFmtId="0" fontId="6" fillId="17" borderId="0" xfId="9" applyFont="1" applyFill="1" applyAlignment="1" applyProtection="1">
      <alignment vertical="top"/>
      <protection hidden="1"/>
    </xf>
    <xf numFmtId="0" fontId="7" fillId="17" borderId="0" xfId="0" applyFont="1" applyFill="1" applyAlignment="1" applyProtection="1">
      <protection hidden="1"/>
    </xf>
    <xf numFmtId="2" fontId="6" fillId="17" borderId="0" xfId="0" applyNumberFormat="1" applyFont="1" applyFill="1" applyAlignment="1" applyProtection="1">
      <alignment horizontal="center" vertical="center"/>
      <protection hidden="1"/>
    </xf>
    <xf numFmtId="0" fontId="6" fillId="17" borderId="0" xfId="0" quotePrefix="1" applyNumberFormat="1" applyFont="1" applyFill="1" applyAlignment="1" applyProtection="1">
      <protection hidden="1"/>
    </xf>
    <xf numFmtId="0" fontId="6" fillId="17" borderId="0" xfId="9" applyFont="1" applyFill="1" applyAlignment="1" applyProtection="1">
      <alignment horizontal="center" vertical="center"/>
      <protection hidden="1"/>
    </xf>
    <xf numFmtId="0" fontId="6" fillId="17" borderId="0" xfId="9" applyFont="1" applyFill="1" applyAlignment="1" applyProtection="1">
      <alignment vertical="center"/>
      <protection hidden="1"/>
    </xf>
    <xf numFmtId="0" fontId="0" fillId="17" borderId="0" xfId="0" applyFill="1"/>
    <xf numFmtId="0" fontId="7" fillId="17" borderId="0" xfId="0" applyFont="1" applyFill="1" applyAlignment="1" applyProtection="1">
      <alignment wrapText="1"/>
      <protection hidden="1"/>
    </xf>
    <xf numFmtId="0" fontId="7" fillId="17" borderId="0" xfId="0" applyFont="1" applyFill="1" applyAlignment="1" applyProtection="1">
      <alignment vertical="top"/>
      <protection hidden="1"/>
    </xf>
    <xf numFmtId="0" fontId="6" fillId="17" borderId="0" xfId="0" applyFont="1" applyFill="1" applyAlignment="1" applyProtection="1">
      <alignment horizontal="center" wrapText="1"/>
      <protection hidden="1"/>
    </xf>
    <xf numFmtId="0" fontId="6" fillId="17" borderId="0" xfId="0" applyNumberFormat="1" applyFont="1" applyFill="1" applyAlignment="1" applyProtection="1">
      <protection hidden="1"/>
    </xf>
    <xf numFmtId="0" fontId="6" fillId="17" borderId="0" xfId="0" applyFont="1" applyFill="1" applyAlignment="1" applyProtection="1">
      <alignment vertical="center"/>
      <protection hidden="1"/>
    </xf>
    <xf numFmtId="0" fontId="6" fillId="17" borderId="0" xfId="0" applyNumberFormat="1" applyFont="1" applyFill="1" applyBorder="1" applyProtection="1">
      <protection hidden="1"/>
    </xf>
    <xf numFmtId="172" fontId="6" fillId="17" borderId="0" xfId="0" applyNumberFormat="1" applyFont="1" applyFill="1" applyProtection="1">
      <protection hidden="1"/>
    </xf>
    <xf numFmtId="0" fontId="6" fillId="17" borderId="0" xfId="0" applyFont="1" applyFill="1" applyAlignment="1" applyProtection="1">
      <alignment vertical="top"/>
      <protection hidden="1"/>
    </xf>
    <xf numFmtId="0" fontId="10" fillId="0" borderId="31" xfId="0" applyFont="1" applyBorder="1" applyAlignment="1" applyProtection="1">
      <alignment horizontal="center" vertical="center"/>
      <protection locked="0"/>
    </xf>
    <xf numFmtId="178" fontId="17" fillId="0" borderId="57" xfId="12" applyNumberFormat="1" applyFont="1" applyFill="1" applyBorder="1" applyAlignment="1" applyProtection="1">
      <alignment vertical="center"/>
      <protection locked="0"/>
    </xf>
    <xf numFmtId="178" fontId="6" fillId="0" borderId="57" xfId="12" applyNumberFormat="1" applyFont="1" applyFill="1" applyBorder="1" applyAlignment="1" applyProtection="1">
      <alignment vertical="center"/>
      <protection locked="0"/>
    </xf>
    <xf numFmtId="178" fontId="6" fillId="0" borderId="20" xfId="12" applyNumberFormat="1" applyFont="1" applyFill="1" applyBorder="1" applyAlignment="1" applyProtection="1">
      <alignment vertical="center"/>
      <protection locked="0"/>
    </xf>
    <xf numFmtId="180" fontId="6" fillId="0" borderId="112" xfId="12" applyNumberFormat="1" applyFont="1" applyFill="1" applyBorder="1" applyAlignment="1" applyProtection="1">
      <alignment vertical="center"/>
      <protection locked="0"/>
    </xf>
    <xf numFmtId="178" fontId="6" fillId="0" borderId="113" xfId="7" applyNumberFormat="1" applyFont="1" applyFill="1" applyBorder="1" applyAlignment="1" applyProtection="1">
      <alignment vertical="center"/>
      <protection locked="0"/>
    </xf>
    <xf numFmtId="178" fontId="6" fillId="0" borderId="114" xfId="0" applyNumberFormat="1" applyFont="1" applyFill="1" applyBorder="1" applyAlignment="1" applyProtection="1">
      <alignment vertical="center"/>
      <protection locked="0"/>
    </xf>
    <xf numFmtId="178" fontId="6" fillId="0" borderId="103" xfId="0" applyNumberFormat="1" applyFont="1" applyFill="1" applyBorder="1" applyAlignment="1" applyProtection="1">
      <alignment vertical="center"/>
      <protection locked="0"/>
    </xf>
    <xf numFmtId="180" fontId="6" fillId="0" borderId="108" xfId="9" applyNumberFormat="1" applyFont="1" applyFill="1" applyBorder="1" applyAlignment="1" applyProtection="1">
      <alignment vertical="center"/>
      <protection locked="0"/>
    </xf>
    <xf numFmtId="180" fontId="6" fillId="0" borderId="113" xfId="9" applyNumberFormat="1" applyFont="1" applyFill="1" applyBorder="1" applyAlignment="1" applyProtection="1">
      <alignment vertical="center"/>
      <protection locked="0"/>
    </xf>
    <xf numFmtId="180" fontId="6" fillId="0" borderId="115" xfId="9" applyNumberFormat="1" applyFont="1" applyFill="1" applyBorder="1" applyAlignment="1" applyProtection="1">
      <alignment vertical="center"/>
      <protection locked="0"/>
    </xf>
    <xf numFmtId="180" fontId="6" fillId="0" borderId="116" xfId="9" applyNumberFormat="1" applyFont="1" applyFill="1" applyBorder="1" applyAlignment="1" applyProtection="1">
      <alignment vertical="center"/>
      <protection locked="0"/>
    </xf>
    <xf numFmtId="180" fontId="6" fillId="0" borderId="117" xfId="9" applyNumberFormat="1" applyFont="1" applyFill="1" applyBorder="1" applyAlignment="1" applyProtection="1">
      <alignment vertical="center"/>
      <protection locked="0"/>
    </xf>
    <xf numFmtId="180" fontId="6" fillId="0" borderId="109" xfId="9" applyNumberFormat="1" applyFont="1" applyFill="1" applyBorder="1" applyAlignment="1" applyProtection="1">
      <alignment vertical="center"/>
      <protection locked="0"/>
    </xf>
    <xf numFmtId="180" fontId="6" fillId="0" borderId="114" xfId="9" applyNumberFormat="1" applyFont="1" applyFill="1" applyBorder="1" applyAlignment="1" applyProtection="1">
      <alignment vertical="center"/>
      <protection locked="0"/>
    </xf>
    <xf numFmtId="180" fontId="6" fillId="0" borderId="118" xfId="9" applyNumberFormat="1" applyFont="1" applyFill="1" applyBorder="1" applyAlignment="1" applyProtection="1">
      <alignment vertical="center"/>
      <protection locked="0"/>
    </xf>
    <xf numFmtId="178" fontId="6" fillId="0" borderId="113" xfId="0" applyNumberFormat="1" applyFont="1" applyFill="1" applyBorder="1" applyAlignment="1" applyProtection="1">
      <alignment vertical="center"/>
      <protection locked="0"/>
    </xf>
    <xf numFmtId="178" fontId="5" fillId="0" borderId="120" xfId="0" applyNumberFormat="1" applyFont="1" applyFill="1" applyBorder="1" applyAlignment="1" applyProtection="1">
      <alignment vertical="center"/>
      <protection locked="0"/>
    </xf>
    <xf numFmtId="0" fontId="0" fillId="0" borderId="31" xfId="0" applyBorder="1" applyProtection="1">
      <protection locked="0"/>
    </xf>
    <xf numFmtId="178" fontId="5" fillId="0" borderId="31" xfId="0" applyNumberFormat="1" applyFont="1" applyFill="1" applyBorder="1" applyAlignment="1" applyProtection="1">
      <alignment vertical="center"/>
      <protection locked="0"/>
    </xf>
    <xf numFmtId="0" fontId="0" fillId="0" borderId="0" xfId="0" applyProtection="1">
      <protection locked="0"/>
    </xf>
    <xf numFmtId="0" fontId="6" fillId="0" borderId="31" xfId="5" applyNumberFormat="1" applyFont="1" applyFill="1" applyBorder="1" applyAlignment="1" applyProtection="1">
      <alignment horizontal="left" vertical="center" wrapText="1"/>
      <protection locked="0"/>
    </xf>
    <xf numFmtId="0" fontId="2" fillId="0" borderId="31" xfId="12" applyFill="1" applyBorder="1" applyProtection="1">
      <protection locked="0"/>
    </xf>
    <xf numFmtId="0" fontId="0" fillId="0" borderId="31" xfId="0" applyFill="1" applyBorder="1" applyProtection="1">
      <protection locked="0"/>
    </xf>
    <xf numFmtId="0" fontId="7" fillId="9" borderId="21" xfId="0" applyFont="1" applyFill="1" applyBorder="1" applyAlignment="1" applyProtection="1">
      <alignment horizontal="center" vertical="center"/>
      <protection hidden="1"/>
    </xf>
    <xf numFmtId="0" fontId="7" fillId="9" borderId="58" xfId="0" applyFont="1" applyFill="1" applyBorder="1" applyAlignment="1" applyProtection="1">
      <alignment horizontal="center" vertical="center"/>
      <protection hidden="1"/>
    </xf>
    <xf numFmtId="0" fontId="7" fillId="9" borderId="25" xfId="0" applyFont="1" applyFill="1" applyBorder="1" applyAlignment="1" applyProtection="1">
      <alignment horizontal="center" vertical="top" wrapText="1"/>
      <protection hidden="1"/>
    </xf>
    <xf numFmtId="0" fontId="7" fillId="9" borderId="29" xfId="0" applyFont="1" applyFill="1" applyBorder="1" applyAlignment="1" applyProtection="1">
      <alignment horizontal="center" vertical="top" wrapText="1"/>
      <protection hidden="1"/>
    </xf>
    <xf numFmtId="172" fontId="7" fillId="0" borderId="103" xfId="4" applyNumberFormat="1" applyFont="1" applyFill="1" applyBorder="1" applyAlignment="1" applyProtection="1">
      <alignment horizontal="left" vertical="center" indent="1"/>
      <protection hidden="1"/>
    </xf>
    <xf numFmtId="172" fontId="7" fillId="0" borderId="32" xfId="4" applyNumberFormat="1" applyFont="1" applyFill="1" applyBorder="1" applyAlignment="1" applyProtection="1">
      <alignment horizontal="left" vertical="center" indent="1"/>
      <protection hidden="1"/>
    </xf>
    <xf numFmtId="172" fontId="7" fillId="11" borderId="0" xfId="0" applyNumberFormat="1" applyFont="1" applyFill="1" applyBorder="1" applyAlignment="1" applyProtection="1">
      <alignment horizontal="center" vertical="center"/>
      <protection hidden="1"/>
    </xf>
    <xf numFmtId="0" fontId="7" fillId="5" borderId="46" xfId="4" applyFont="1" applyFill="1" applyBorder="1" applyAlignment="1" applyProtection="1">
      <alignment horizontal="center" vertical="center"/>
      <protection hidden="1"/>
    </xf>
    <xf numFmtId="0" fontId="7" fillId="5" borderId="81" xfId="4" applyFont="1" applyFill="1" applyBorder="1" applyAlignment="1" applyProtection="1">
      <alignment horizontal="center" vertical="center"/>
      <protection hidden="1"/>
    </xf>
    <xf numFmtId="0" fontId="7" fillId="5" borderId="82" xfId="4" applyFont="1" applyFill="1" applyBorder="1" applyAlignment="1" applyProtection="1">
      <alignment horizontal="center" vertical="center"/>
      <protection hidden="1"/>
    </xf>
    <xf numFmtId="0" fontId="7" fillId="5" borderId="39" xfId="0" applyNumberFormat="1" applyFont="1" applyFill="1" applyBorder="1" applyAlignment="1" applyProtection="1">
      <alignment horizontal="center" vertical="center"/>
      <protection hidden="1"/>
    </xf>
    <xf numFmtId="0" fontId="7" fillId="5" borderId="50" xfId="0" applyNumberFormat="1" applyFont="1" applyFill="1" applyBorder="1" applyAlignment="1" applyProtection="1">
      <alignment horizontal="center" vertical="center"/>
      <protection hidden="1"/>
    </xf>
    <xf numFmtId="172" fontId="7" fillId="5" borderId="40" xfId="0" applyNumberFormat="1" applyFont="1" applyFill="1" applyBorder="1" applyAlignment="1" applyProtection="1">
      <alignment horizontal="center" vertical="center"/>
      <protection hidden="1"/>
    </xf>
    <xf numFmtId="172" fontId="7" fillId="5" borderId="50" xfId="0" applyNumberFormat="1" applyFont="1" applyFill="1" applyBorder="1" applyAlignment="1" applyProtection="1">
      <alignment horizontal="center" vertical="center"/>
      <protection hidden="1"/>
    </xf>
    <xf numFmtId="172" fontId="7" fillId="5" borderId="35" xfId="0" applyNumberFormat="1" applyFont="1" applyFill="1" applyBorder="1" applyAlignment="1" applyProtection="1">
      <alignment horizontal="center" vertical="center"/>
      <protection hidden="1"/>
    </xf>
    <xf numFmtId="0" fontId="7" fillId="5" borderId="21" xfId="4" applyFont="1" applyFill="1" applyBorder="1" applyAlignment="1" applyProtection="1">
      <alignment horizontal="center" vertical="center" wrapText="1"/>
      <protection hidden="1"/>
    </xf>
    <xf numFmtId="0" fontId="7" fillId="5" borderId="58" xfId="4" applyFont="1" applyFill="1" applyBorder="1" applyAlignment="1" applyProtection="1">
      <alignment horizontal="center" vertical="center" wrapText="1"/>
      <protection hidden="1"/>
    </xf>
    <xf numFmtId="0" fontId="7" fillId="5" borderId="23" xfId="4" applyFont="1" applyFill="1" applyBorder="1" applyAlignment="1" applyProtection="1">
      <alignment horizontal="center" vertical="center" wrapText="1"/>
      <protection hidden="1"/>
    </xf>
    <xf numFmtId="0" fontId="7" fillId="5" borderId="10" xfId="4" applyFont="1" applyFill="1" applyBorder="1" applyAlignment="1" applyProtection="1">
      <alignment horizontal="center" vertical="center" wrapText="1"/>
      <protection hidden="1"/>
    </xf>
    <xf numFmtId="0" fontId="7" fillId="5" borderId="0" xfId="4" applyFont="1" applyFill="1" applyBorder="1" applyAlignment="1" applyProtection="1">
      <alignment horizontal="center" vertical="center" wrapText="1"/>
      <protection hidden="1"/>
    </xf>
    <xf numFmtId="0" fontId="7" fillId="5" borderId="11" xfId="4" applyFont="1" applyFill="1" applyBorder="1" applyAlignment="1" applyProtection="1">
      <alignment horizontal="center" vertical="center" wrapText="1"/>
      <protection hidden="1"/>
    </xf>
    <xf numFmtId="0" fontId="7" fillId="5" borderId="83" xfId="4" applyFont="1" applyFill="1" applyBorder="1" applyAlignment="1" applyProtection="1">
      <alignment horizontal="center" vertical="center"/>
      <protection hidden="1"/>
    </xf>
    <xf numFmtId="0" fontId="7" fillId="5" borderId="84" xfId="4" applyFont="1" applyFill="1" applyBorder="1" applyAlignment="1" applyProtection="1">
      <alignment horizontal="center" vertical="center"/>
      <protection hidden="1"/>
    </xf>
    <xf numFmtId="0" fontId="7" fillId="5" borderId="78" xfId="4" applyFont="1" applyFill="1" applyBorder="1" applyAlignment="1" applyProtection="1">
      <alignment horizontal="center" vertical="center"/>
      <protection hidden="1"/>
    </xf>
    <xf numFmtId="0" fontId="7" fillId="17" borderId="0" xfId="4" applyFont="1" applyFill="1" applyAlignment="1" applyProtection="1">
      <alignment horizontal="center" vertical="top" wrapText="1"/>
      <protection hidden="1"/>
    </xf>
    <xf numFmtId="172" fontId="20" fillId="6" borderId="21" xfId="0" applyNumberFormat="1" applyFont="1" applyFill="1" applyBorder="1" applyAlignment="1" applyProtection="1">
      <alignment horizontal="center" vertical="center"/>
      <protection hidden="1"/>
    </xf>
    <xf numFmtId="172" fontId="20" fillId="6" borderId="58" xfId="0" applyNumberFormat="1" applyFont="1" applyFill="1" applyBorder="1" applyAlignment="1" applyProtection="1">
      <alignment horizontal="center" vertical="center"/>
      <protection hidden="1"/>
    </xf>
    <xf numFmtId="172" fontId="20" fillId="6" borderId="23" xfId="0" applyNumberFormat="1" applyFont="1" applyFill="1" applyBorder="1" applyAlignment="1" applyProtection="1">
      <alignment horizontal="center" vertical="center"/>
      <protection hidden="1"/>
    </xf>
    <xf numFmtId="172" fontId="20" fillId="6" borderId="71" xfId="0" applyNumberFormat="1" applyFont="1" applyFill="1" applyBorder="1" applyAlignment="1" applyProtection="1">
      <alignment horizontal="center" vertical="top" wrapText="1"/>
      <protection hidden="1"/>
    </xf>
    <xf numFmtId="172" fontId="20" fillId="6" borderId="6" xfId="0" applyNumberFormat="1" applyFont="1" applyFill="1" applyBorder="1" applyAlignment="1" applyProtection="1">
      <alignment horizontal="center" vertical="top" wrapText="1"/>
      <protection hidden="1"/>
    </xf>
    <xf numFmtId="172" fontId="20" fillId="6" borderId="5" xfId="0" applyNumberFormat="1" applyFont="1" applyFill="1" applyBorder="1" applyAlignment="1" applyProtection="1">
      <alignment horizontal="center" vertical="top" wrapText="1"/>
      <protection hidden="1"/>
    </xf>
    <xf numFmtId="172" fontId="20" fillId="6" borderId="7" xfId="0" applyNumberFormat="1" applyFont="1" applyFill="1" applyBorder="1" applyAlignment="1" applyProtection="1">
      <alignment horizontal="center" vertical="top" wrapText="1"/>
      <protection hidden="1"/>
    </xf>
    <xf numFmtId="172" fontId="7" fillId="5" borderId="71" xfId="0" applyNumberFormat="1" applyFont="1" applyFill="1" applyBorder="1" applyAlignment="1" applyProtection="1">
      <alignment horizontal="center" vertical="top" wrapText="1"/>
      <protection hidden="1"/>
    </xf>
    <xf numFmtId="172" fontId="7" fillId="5" borderId="6" xfId="0" applyNumberFormat="1" applyFont="1" applyFill="1" applyBorder="1" applyAlignment="1" applyProtection="1">
      <alignment horizontal="center" vertical="top" wrapText="1"/>
      <protection hidden="1"/>
    </xf>
    <xf numFmtId="0" fontId="7" fillId="5" borderId="6" xfId="4" applyFont="1" applyFill="1" applyBorder="1" applyAlignment="1" applyProtection="1">
      <alignment horizontal="center" vertical="top" wrapText="1"/>
      <protection hidden="1"/>
    </xf>
    <xf numFmtId="0" fontId="7" fillId="5" borderId="71" xfId="4" applyFont="1" applyFill="1" applyBorder="1" applyAlignment="1" applyProtection="1">
      <alignment horizontal="center" vertical="top" wrapText="1"/>
      <protection hidden="1"/>
    </xf>
    <xf numFmtId="172" fontId="21" fillId="11" borderId="21" xfId="0" applyNumberFormat="1" applyFont="1" applyFill="1" applyBorder="1" applyAlignment="1" applyProtection="1">
      <alignment horizontal="center" vertical="center"/>
      <protection hidden="1"/>
    </xf>
    <xf numFmtId="172" fontId="21" fillId="11" borderId="58" xfId="0" applyNumberFormat="1" applyFont="1" applyFill="1" applyBorder="1" applyAlignment="1" applyProtection="1">
      <alignment horizontal="center" vertical="center"/>
      <protection hidden="1"/>
    </xf>
    <xf numFmtId="172" fontId="21" fillId="11" borderId="23" xfId="0" applyNumberFormat="1" applyFont="1" applyFill="1" applyBorder="1" applyAlignment="1" applyProtection="1">
      <alignment horizontal="center" vertical="center"/>
      <protection hidden="1"/>
    </xf>
    <xf numFmtId="172" fontId="21" fillId="11" borderId="71" xfId="0" applyNumberFormat="1" applyFont="1" applyFill="1" applyBorder="1" applyAlignment="1" applyProtection="1">
      <alignment horizontal="center" vertical="top" wrapText="1"/>
      <protection hidden="1"/>
    </xf>
    <xf numFmtId="172" fontId="21" fillId="11" borderId="6" xfId="0" applyNumberFormat="1" applyFont="1" applyFill="1" applyBorder="1" applyAlignment="1" applyProtection="1">
      <alignment horizontal="center" vertical="top" wrapText="1"/>
      <protection hidden="1"/>
    </xf>
    <xf numFmtId="172" fontId="21" fillId="11" borderId="5" xfId="0" applyNumberFormat="1" applyFont="1" applyFill="1" applyBorder="1" applyAlignment="1" applyProtection="1">
      <alignment horizontal="center" vertical="top" wrapText="1"/>
      <protection hidden="1"/>
    </xf>
    <xf numFmtId="172" fontId="21" fillId="11" borderId="7" xfId="0" applyNumberFormat="1" applyFont="1" applyFill="1" applyBorder="1" applyAlignment="1" applyProtection="1">
      <alignment horizontal="center" vertical="top" wrapText="1"/>
      <protection hidden="1"/>
    </xf>
    <xf numFmtId="172" fontId="7" fillId="0" borderId="40" xfId="4" applyNumberFormat="1" applyFont="1" applyFill="1" applyBorder="1" applyAlignment="1" applyProtection="1">
      <alignment horizontal="left" vertical="center" indent="1"/>
      <protection hidden="1"/>
    </xf>
    <xf numFmtId="172" fontId="7" fillId="0" borderId="50" xfId="4" applyNumberFormat="1" applyFont="1" applyFill="1" applyBorder="1" applyAlignment="1" applyProtection="1">
      <alignment horizontal="left" vertical="center" indent="1"/>
      <protection hidden="1"/>
    </xf>
    <xf numFmtId="0" fontId="7" fillId="5" borderId="26" xfId="4" applyFont="1" applyFill="1" applyBorder="1" applyAlignment="1" applyProtection="1">
      <alignment horizontal="center" vertical="top" wrapText="1"/>
      <protection hidden="1"/>
    </xf>
    <xf numFmtId="0" fontId="7" fillId="5" borderId="12" xfId="4" applyFont="1" applyFill="1" applyBorder="1" applyAlignment="1" applyProtection="1">
      <alignment horizontal="center" vertical="top" wrapText="1"/>
      <protection hidden="1"/>
    </xf>
    <xf numFmtId="0" fontId="7" fillId="5" borderId="21" xfId="0" applyFont="1" applyFill="1" applyBorder="1" applyAlignment="1" applyProtection="1">
      <alignment horizontal="center" vertical="center"/>
      <protection hidden="1"/>
    </xf>
    <xf numFmtId="0" fontId="7" fillId="5" borderId="58" xfId="0" applyFont="1" applyFill="1" applyBorder="1" applyAlignment="1" applyProtection="1">
      <alignment horizontal="center" vertical="center"/>
      <protection hidden="1"/>
    </xf>
    <xf numFmtId="0" fontId="7" fillId="5" borderId="23" xfId="0" applyFont="1" applyFill="1" applyBorder="1" applyAlignment="1" applyProtection="1">
      <alignment horizontal="center" vertical="center"/>
      <protection hidden="1"/>
    </xf>
    <xf numFmtId="0" fontId="7" fillId="5" borderId="83" xfId="4" applyFont="1" applyFill="1" applyBorder="1" applyAlignment="1" applyProtection="1">
      <alignment horizontal="center" vertical="center" wrapText="1"/>
      <protection hidden="1"/>
    </xf>
    <xf numFmtId="172" fontId="7" fillId="6" borderId="0" xfId="0" applyNumberFormat="1"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top" wrapText="1"/>
      <protection hidden="1"/>
    </xf>
    <xf numFmtId="0" fontId="7" fillId="2" borderId="13" xfId="0" applyFont="1" applyFill="1" applyBorder="1" applyAlignment="1" applyProtection="1">
      <alignment horizontal="center" vertical="top" wrapText="1"/>
      <protection hidden="1"/>
    </xf>
    <xf numFmtId="0" fontId="7" fillId="2" borderId="24" xfId="0" applyFont="1" applyFill="1" applyBorder="1" applyAlignment="1" applyProtection="1">
      <alignment horizontal="center" vertical="top" wrapText="1"/>
      <protection hidden="1"/>
    </xf>
    <xf numFmtId="0" fontId="7" fillId="2" borderId="6" xfId="0" applyFont="1" applyFill="1" applyBorder="1" applyAlignment="1" applyProtection="1">
      <alignment horizontal="center" vertical="top" wrapText="1"/>
      <protection hidden="1"/>
    </xf>
    <xf numFmtId="0" fontId="7" fillId="2" borderId="22" xfId="0" applyFont="1" applyFill="1" applyBorder="1" applyAlignment="1" applyProtection="1">
      <alignment horizontal="center" vertical="top" wrapText="1"/>
      <protection hidden="1"/>
    </xf>
    <xf numFmtId="0" fontId="7" fillId="2" borderId="7" xfId="0" applyFont="1" applyFill="1" applyBorder="1" applyAlignment="1" applyProtection="1">
      <alignment horizontal="center" vertical="top" wrapText="1"/>
      <protection hidden="1"/>
    </xf>
    <xf numFmtId="0" fontId="7" fillId="2" borderId="47" xfId="0" applyFont="1" applyFill="1" applyBorder="1" applyAlignment="1" applyProtection="1">
      <alignment horizontal="center" vertical="center" wrapText="1"/>
      <protection hidden="1"/>
    </xf>
    <xf numFmtId="0" fontId="7" fillId="2" borderId="58" xfId="0" applyFont="1" applyFill="1" applyBorder="1" applyAlignment="1" applyProtection="1">
      <alignment horizontal="center" vertical="center" wrapText="1"/>
      <protection hidden="1"/>
    </xf>
    <xf numFmtId="0" fontId="7" fillId="2" borderId="23" xfId="0" applyFont="1" applyFill="1" applyBorder="1" applyAlignment="1" applyProtection="1">
      <alignment horizontal="center" vertical="center" wrapText="1"/>
      <protection hidden="1"/>
    </xf>
    <xf numFmtId="0" fontId="7" fillId="0" borderId="40" xfId="0" applyFont="1" applyFill="1" applyBorder="1" applyAlignment="1" applyProtection="1">
      <alignment horizontal="left" vertical="center" indent="1"/>
      <protection hidden="1"/>
    </xf>
    <xf numFmtId="0" fontId="7" fillId="0" borderId="50" xfId="0" applyFont="1" applyFill="1" applyBorder="1" applyAlignment="1" applyProtection="1">
      <alignment horizontal="left" vertical="center" indent="1"/>
      <protection hidden="1"/>
    </xf>
    <xf numFmtId="0" fontId="7" fillId="17" borderId="0" xfId="0" applyFont="1" applyFill="1" applyAlignment="1" applyProtection="1">
      <alignment horizontal="center" vertical="top" wrapText="1"/>
      <protection hidden="1"/>
    </xf>
    <xf numFmtId="0" fontId="7" fillId="2" borderId="71" xfId="0" applyFont="1" applyFill="1" applyBorder="1" applyAlignment="1" applyProtection="1">
      <alignment horizontal="center" vertical="top" wrapText="1"/>
      <protection hidden="1"/>
    </xf>
    <xf numFmtId="0" fontId="7" fillId="4" borderId="44" xfId="0" applyFont="1" applyFill="1" applyBorder="1" applyAlignment="1" applyProtection="1">
      <alignment horizontal="center" vertical="top" wrapText="1"/>
      <protection hidden="1"/>
    </xf>
    <xf numFmtId="0" fontId="7" fillId="4" borderId="9" xfId="0" applyFont="1" applyFill="1" applyBorder="1" applyAlignment="1" applyProtection="1">
      <alignment horizontal="center" vertical="top" wrapText="1"/>
      <protection hidden="1"/>
    </xf>
    <xf numFmtId="0" fontId="7" fillId="4" borderId="40" xfId="0" applyFont="1" applyFill="1" applyBorder="1" applyAlignment="1" applyProtection="1">
      <alignment horizontal="center" vertical="center" wrapText="1"/>
      <protection hidden="1"/>
    </xf>
    <xf numFmtId="0" fontId="7" fillId="4" borderId="50" xfId="0" applyFont="1" applyFill="1" applyBorder="1" applyAlignment="1" applyProtection="1">
      <alignment horizontal="center" vertical="center" wrapText="1"/>
      <protection hidden="1"/>
    </xf>
    <xf numFmtId="0" fontId="7" fillId="4" borderId="35" xfId="0" applyFont="1" applyFill="1" applyBorder="1" applyAlignment="1" applyProtection="1">
      <alignment horizontal="center" vertical="center" wrapText="1"/>
      <protection hidden="1"/>
    </xf>
    <xf numFmtId="0" fontId="7" fillId="4" borderId="83" xfId="0" applyFont="1" applyFill="1" applyBorder="1" applyAlignment="1" applyProtection="1">
      <alignment horizontal="center" vertical="center" wrapText="1"/>
      <protection hidden="1"/>
    </xf>
    <xf numFmtId="0" fontId="7" fillId="4" borderId="84" xfId="0" applyFont="1" applyFill="1" applyBorder="1" applyAlignment="1" applyProtection="1">
      <alignment horizontal="center" vertical="center" wrapText="1"/>
      <protection hidden="1"/>
    </xf>
    <xf numFmtId="0" fontId="7" fillId="4" borderId="85" xfId="0" applyFont="1" applyFill="1" applyBorder="1" applyAlignment="1" applyProtection="1">
      <alignment horizontal="center" vertical="center" wrapText="1"/>
      <protection hidden="1"/>
    </xf>
    <xf numFmtId="0" fontId="6" fillId="0" borderId="84" xfId="0" applyFont="1" applyBorder="1" applyAlignment="1" applyProtection="1">
      <alignment horizontal="center" vertical="center" wrapText="1"/>
      <protection hidden="1"/>
    </xf>
    <xf numFmtId="0" fontId="6" fillId="0" borderId="78" xfId="0" applyFont="1" applyBorder="1" applyAlignment="1" applyProtection="1">
      <alignment horizontal="center" vertical="center" wrapText="1"/>
      <protection hidden="1"/>
    </xf>
    <xf numFmtId="0" fontId="7" fillId="4" borderId="85" xfId="0" applyFont="1" applyFill="1" applyBorder="1" applyAlignment="1" applyProtection="1">
      <alignment horizontal="center" vertical="center"/>
      <protection hidden="1"/>
    </xf>
    <xf numFmtId="0" fontId="7" fillId="4" borderId="84" xfId="0" applyFont="1" applyFill="1" applyBorder="1" applyAlignment="1" applyProtection="1">
      <alignment horizontal="center" vertical="center"/>
      <protection hidden="1"/>
    </xf>
    <xf numFmtId="0" fontId="7" fillId="4" borderId="78" xfId="0" applyFont="1" applyFill="1" applyBorder="1" applyAlignment="1" applyProtection="1">
      <alignment horizontal="center" vertical="center"/>
      <protection hidden="1"/>
    </xf>
    <xf numFmtId="0" fontId="7" fillId="4" borderId="40" xfId="0" applyFont="1" applyFill="1" applyBorder="1" applyAlignment="1" applyProtection="1">
      <alignment horizontal="center" vertical="center"/>
      <protection hidden="1"/>
    </xf>
    <xf numFmtId="0" fontId="7" fillId="4" borderId="35" xfId="0" applyFont="1" applyFill="1" applyBorder="1" applyAlignment="1" applyProtection="1">
      <alignment horizontal="center" vertical="center"/>
      <protection hidden="1"/>
    </xf>
    <xf numFmtId="0" fontId="7" fillId="0" borderId="103" xfId="0" applyFont="1" applyFill="1" applyBorder="1" applyAlignment="1" applyProtection="1">
      <alignment horizontal="left" vertical="center" indent="1"/>
      <protection hidden="1"/>
    </xf>
    <xf numFmtId="0" fontId="7" fillId="0" borderId="32" xfId="0" applyFont="1" applyFill="1" applyBorder="1" applyAlignment="1" applyProtection="1">
      <alignment horizontal="left" vertical="center" indent="1"/>
      <protection hidden="1"/>
    </xf>
    <xf numFmtId="0" fontId="7" fillId="4" borderId="78" xfId="0" applyFont="1" applyFill="1" applyBorder="1" applyAlignment="1" applyProtection="1">
      <alignment horizontal="center" vertical="center" wrapText="1"/>
      <protection hidden="1"/>
    </xf>
    <xf numFmtId="0" fontId="7" fillId="4" borderId="26" xfId="0" applyFont="1" applyFill="1" applyBorder="1" applyAlignment="1" applyProtection="1">
      <alignment horizontal="center" vertical="center" wrapText="1"/>
      <protection hidden="1"/>
    </xf>
    <xf numFmtId="0" fontId="7" fillId="4" borderId="12" xfId="0" applyFont="1" applyFill="1" applyBorder="1" applyAlignment="1" applyProtection="1">
      <alignment horizontal="center" vertical="center" wrapText="1"/>
      <protection hidden="1"/>
    </xf>
    <xf numFmtId="0" fontId="7" fillId="2" borderId="83" xfId="0" applyFont="1" applyFill="1" applyBorder="1" applyAlignment="1" applyProtection="1">
      <alignment horizontal="center" vertical="center" wrapText="1"/>
      <protection hidden="1"/>
    </xf>
    <xf numFmtId="0" fontId="7" fillId="2" borderId="84" xfId="0" applyFont="1" applyFill="1" applyBorder="1" applyAlignment="1" applyProtection="1">
      <alignment horizontal="center" vertical="center" wrapText="1"/>
      <protection hidden="1"/>
    </xf>
    <xf numFmtId="0" fontId="7" fillId="2" borderId="78" xfId="0" applyFont="1" applyFill="1" applyBorder="1" applyAlignment="1" applyProtection="1">
      <alignment horizontal="center" vertical="center" wrapText="1"/>
      <protection hidden="1"/>
    </xf>
    <xf numFmtId="0" fontId="7" fillId="9" borderId="5" xfId="0" applyFont="1" applyFill="1" applyBorder="1" applyAlignment="1" applyProtection="1">
      <alignment horizontal="center" vertical="top" wrapText="1"/>
      <protection hidden="1"/>
    </xf>
    <xf numFmtId="0" fontId="7" fillId="9" borderId="7" xfId="0" applyFont="1" applyFill="1" applyBorder="1" applyAlignment="1" applyProtection="1">
      <alignment horizontal="center" vertical="top" wrapText="1"/>
      <protection hidden="1"/>
    </xf>
    <xf numFmtId="0" fontId="7" fillId="4" borderId="83" xfId="0" applyFont="1" applyFill="1" applyBorder="1" applyAlignment="1" applyProtection="1">
      <alignment horizontal="center" vertical="center"/>
      <protection hidden="1"/>
    </xf>
    <xf numFmtId="0" fontId="7" fillId="3" borderId="34" xfId="9" applyFont="1" applyFill="1" applyBorder="1" applyAlignment="1" applyProtection="1">
      <alignment horizontal="center" vertical="center"/>
      <protection hidden="1"/>
    </xf>
    <xf numFmtId="0" fontId="7" fillId="3" borderId="64" xfId="9" applyFont="1" applyFill="1" applyBorder="1" applyAlignment="1" applyProtection="1">
      <alignment horizontal="center" vertical="center"/>
      <protection hidden="1"/>
    </xf>
    <xf numFmtId="0" fontId="7" fillId="3" borderId="17" xfId="9" applyFont="1" applyFill="1" applyBorder="1" applyAlignment="1" applyProtection="1">
      <alignment horizontal="center" vertical="center"/>
      <protection hidden="1"/>
    </xf>
    <xf numFmtId="0" fontId="7" fillId="3" borderId="11" xfId="9" applyFont="1" applyFill="1" applyBorder="1" applyAlignment="1" applyProtection="1">
      <alignment horizontal="center" vertical="top" wrapText="1"/>
      <protection hidden="1"/>
    </xf>
    <xf numFmtId="0" fontId="7" fillId="3" borderId="46" xfId="9" applyFont="1" applyFill="1" applyBorder="1" applyAlignment="1" applyProtection="1">
      <alignment horizontal="center" vertical="center"/>
      <protection hidden="1"/>
    </xf>
    <xf numFmtId="0" fontId="7" fillId="3" borderId="81" xfId="9" applyFont="1" applyFill="1" applyBorder="1" applyAlignment="1" applyProtection="1">
      <alignment horizontal="center" vertical="center"/>
      <protection hidden="1"/>
    </xf>
    <xf numFmtId="0" fontId="7" fillId="3" borderId="82" xfId="9" applyFont="1" applyFill="1" applyBorder="1" applyAlignment="1" applyProtection="1">
      <alignment horizontal="center" vertical="center"/>
      <protection hidden="1"/>
    </xf>
    <xf numFmtId="0" fontId="7" fillId="2" borderId="44" xfId="0" applyFont="1" applyFill="1" applyBorder="1" applyAlignment="1" applyProtection="1">
      <alignment horizontal="center" vertical="center" wrapText="1"/>
      <protection hidden="1"/>
    </xf>
    <xf numFmtId="0" fontId="7" fillId="2" borderId="65" xfId="0" applyFont="1" applyFill="1" applyBorder="1" applyAlignment="1" applyProtection="1">
      <alignment horizontal="center" vertical="center" wrapText="1"/>
      <protection hidden="1"/>
    </xf>
    <xf numFmtId="0" fontId="7" fillId="2" borderId="45" xfId="0" applyFont="1" applyFill="1" applyBorder="1" applyAlignment="1" applyProtection="1">
      <alignment horizontal="center" vertical="center" wrapText="1"/>
      <protection hidden="1"/>
    </xf>
    <xf numFmtId="0" fontId="7" fillId="2" borderId="21" xfId="0" applyFont="1" applyFill="1" applyBorder="1" applyAlignment="1" applyProtection="1">
      <alignment horizontal="center" vertical="center"/>
      <protection hidden="1"/>
    </xf>
    <xf numFmtId="0" fontId="7" fillId="2" borderId="58" xfId="0" applyFont="1" applyFill="1" applyBorder="1" applyAlignment="1" applyProtection="1">
      <alignment horizontal="center" vertical="center"/>
      <protection hidden="1"/>
    </xf>
    <xf numFmtId="0" fontId="7" fillId="2" borderId="23" xfId="0" applyFont="1" applyFill="1" applyBorder="1" applyAlignment="1" applyProtection="1">
      <alignment horizontal="center" vertical="center"/>
      <protection hidden="1"/>
    </xf>
    <xf numFmtId="0" fontId="7" fillId="17" borderId="83" xfId="0" applyFont="1" applyFill="1" applyBorder="1" applyAlignment="1" applyProtection="1">
      <alignment horizontal="center" vertical="center"/>
      <protection hidden="1"/>
    </xf>
    <xf numFmtId="0" fontId="7" fillId="17" borderId="84" xfId="0" applyFont="1" applyFill="1" applyBorder="1" applyAlignment="1" applyProtection="1">
      <alignment horizontal="center" vertical="center"/>
      <protection hidden="1"/>
    </xf>
    <xf numFmtId="0" fontId="7" fillId="17" borderId="78" xfId="0" applyFont="1" applyFill="1" applyBorder="1" applyAlignment="1" applyProtection="1">
      <alignment horizontal="center" vertical="center"/>
      <protection hidden="1"/>
    </xf>
    <xf numFmtId="0" fontId="7" fillId="17" borderId="71" xfId="0" applyFont="1" applyFill="1" applyBorder="1" applyAlignment="1" applyProtection="1">
      <alignment horizontal="center" vertical="top" wrapText="1"/>
      <protection hidden="1"/>
    </xf>
    <xf numFmtId="0" fontId="7" fillId="17" borderId="6" xfId="0" applyFont="1" applyFill="1" applyBorder="1" applyAlignment="1" applyProtection="1">
      <alignment horizontal="center" vertical="top" wrapText="1"/>
      <protection hidden="1"/>
    </xf>
    <xf numFmtId="0" fontId="7" fillId="17" borderId="15" xfId="0" applyFont="1" applyFill="1" applyBorder="1" applyAlignment="1" applyProtection="1">
      <alignment horizontal="center" vertical="top" wrapText="1"/>
      <protection hidden="1"/>
    </xf>
    <xf numFmtId="0" fontId="7" fillId="17" borderId="5" xfId="0" applyFont="1" applyFill="1" applyBorder="1" applyAlignment="1" applyProtection="1">
      <alignment horizontal="center" vertical="top" wrapText="1"/>
      <protection hidden="1"/>
    </xf>
    <xf numFmtId="0" fontId="7" fillId="17" borderId="7" xfId="0" applyFont="1" applyFill="1" applyBorder="1" applyAlignment="1" applyProtection="1">
      <alignment horizontal="center" vertical="top" wrapText="1"/>
      <protection hidden="1"/>
    </xf>
    <xf numFmtId="0" fontId="7" fillId="17" borderId="13" xfId="0" applyFont="1" applyFill="1" applyBorder="1" applyAlignment="1" applyProtection="1">
      <alignment horizontal="center" vertical="top" wrapText="1"/>
      <protection hidden="1"/>
    </xf>
    <xf numFmtId="0" fontId="7" fillId="17" borderId="4" xfId="0" applyFont="1" applyFill="1" applyBorder="1" applyAlignment="1" applyProtection="1">
      <alignment horizontal="center" vertical="top" wrapText="1"/>
      <protection hidden="1"/>
    </xf>
    <xf numFmtId="0" fontId="7" fillId="17" borderId="8" xfId="0" applyFont="1" applyFill="1" applyBorder="1" applyAlignment="1" applyProtection="1">
      <alignment horizontal="center" vertical="top" wrapText="1"/>
      <protection hidden="1"/>
    </xf>
    <xf numFmtId="0" fontId="7" fillId="17" borderId="16" xfId="0" applyFont="1" applyFill="1" applyBorder="1" applyAlignment="1" applyProtection="1">
      <alignment horizontal="center" vertical="top" wrapText="1"/>
      <protection hidden="1"/>
    </xf>
    <xf numFmtId="0" fontId="7" fillId="0" borderId="40" xfId="0" quotePrefix="1" applyFont="1" applyFill="1" applyBorder="1" applyAlignment="1" applyProtection="1">
      <alignment horizontal="left" vertical="center" indent="1"/>
      <protection hidden="1"/>
    </xf>
    <xf numFmtId="0" fontId="7" fillId="0" borderId="50" xfId="0" quotePrefix="1" applyFont="1" applyFill="1" applyBorder="1" applyAlignment="1" applyProtection="1">
      <alignment horizontal="left" vertical="center" indent="1"/>
      <protection hidden="1"/>
    </xf>
    <xf numFmtId="0" fontId="7" fillId="0" borderId="32" xfId="0" quotePrefix="1" applyFont="1" applyFill="1" applyBorder="1" applyAlignment="1" applyProtection="1">
      <alignment horizontal="left" vertical="center" indent="1"/>
      <protection hidden="1"/>
    </xf>
    <xf numFmtId="0" fontId="7" fillId="3" borderId="26" xfId="0" applyFont="1" applyFill="1" applyBorder="1" applyAlignment="1" applyProtection="1">
      <alignment horizontal="center" vertical="top" wrapText="1"/>
      <protection hidden="1"/>
    </xf>
    <xf numFmtId="0" fontId="7" fillId="3" borderId="12" xfId="0" applyFont="1" applyFill="1" applyBorder="1" applyAlignment="1" applyProtection="1">
      <alignment horizontal="center" vertical="top" wrapText="1"/>
      <protection hidden="1"/>
    </xf>
    <xf numFmtId="0" fontId="7" fillId="2" borderId="28" xfId="0" applyFont="1" applyFill="1" applyBorder="1" applyAlignment="1" applyProtection="1">
      <alignment horizontal="center" vertical="top" wrapText="1"/>
      <protection hidden="1"/>
    </xf>
    <xf numFmtId="0" fontId="7" fillId="9" borderId="22" xfId="0" applyFont="1" applyFill="1" applyBorder="1" applyAlignment="1" applyProtection="1">
      <alignment horizontal="center" vertical="top" wrapText="1"/>
      <protection hidden="1"/>
    </xf>
    <xf numFmtId="0" fontId="7" fillId="9" borderId="28" xfId="0" applyFont="1" applyFill="1" applyBorder="1" applyAlignment="1" applyProtection="1">
      <alignment horizontal="center" vertical="top" wrapText="1"/>
      <protection hidden="1"/>
    </xf>
    <xf numFmtId="0" fontId="7" fillId="9" borderId="83" xfId="0" applyFont="1" applyFill="1" applyBorder="1" applyAlignment="1" applyProtection="1">
      <alignment horizontal="left" vertical="center" wrapText="1" indent="1"/>
      <protection hidden="1"/>
    </xf>
    <xf numFmtId="0" fontId="7" fillId="9" borderId="84" xfId="0" applyFont="1" applyFill="1" applyBorder="1" applyAlignment="1" applyProtection="1">
      <alignment horizontal="left" vertical="center" wrapText="1" indent="1"/>
      <protection hidden="1"/>
    </xf>
    <xf numFmtId="0" fontId="7" fillId="9" borderId="77" xfId="0" applyFont="1" applyFill="1" applyBorder="1" applyAlignment="1" applyProtection="1">
      <alignment horizontal="left" vertical="center" wrapText="1" indent="1"/>
      <protection hidden="1"/>
    </xf>
    <xf numFmtId="0" fontId="7" fillId="9" borderId="63" xfId="0" applyFont="1" applyFill="1" applyBorder="1" applyAlignment="1" applyProtection="1">
      <alignment horizontal="left" vertical="center" wrapText="1" indent="1"/>
      <protection hidden="1"/>
    </xf>
    <xf numFmtId="0" fontId="7" fillId="9" borderId="93" xfId="0" applyFont="1" applyFill="1" applyBorder="1" applyAlignment="1" applyProtection="1">
      <alignment horizontal="left" vertical="center" wrapText="1" indent="1"/>
      <protection hidden="1"/>
    </xf>
    <xf numFmtId="0" fontId="7" fillId="9" borderId="52" xfId="0" applyFont="1" applyFill="1" applyBorder="1" applyAlignment="1" applyProtection="1">
      <alignment horizontal="left" vertical="center" wrapText="1" indent="1"/>
      <protection hidden="1"/>
    </xf>
    <xf numFmtId="0" fontId="7" fillId="5" borderId="6" xfId="0" applyFont="1" applyFill="1" applyBorder="1" applyAlignment="1" applyProtection="1">
      <alignment horizontal="left" vertical="center" wrapText="1" indent="1"/>
      <protection hidden="1"/>
    </xf>
    <xf numFmtId="0" fontId="7" fillId="0" borderId="104" xfId="0" applyFont="1" applyFill="1" applyBorder="1" applyAlignment="1" applyProtection="1">
      <alignment horizontal="center" vertical="center" wrapText="1"/>
      <protection hidden="1"/>
    </xf>
    <xf numFmtId="0" fontId="7" fillId="0" borderId="9" xfId="0" applyFont="1" applyFill="1" applyBorder="1" applyAlignment="1" applyProtection="1">
      <alignment horizontal="center" vertical="center" wrapText="1"/>
      <protection hidden="1"/>
    </xf>
    <xf numFmtId="0" fontId="6" fillId="0" borderId="39" xfId="5" applyNumberFormat="1" applyFont="1" applyFill="1" applyBorder="1" applyAlignment="1" applyProtection="1">
      <alignment horizontal="left" vertical="center" wrapText="1" indent="1"/>
      <protection locked="0"/>
    </xf>
    <xf numFmtId="0" fontId="6" fillId="0" borderId="50" xfId="5" applyNumberFormat="1" applyFont="1" applyFill="1" applyBorder="1" applyAlignment="1" applyProtection="1">
      <alignment horizontal="left" vertical="center" wrapText="1" indent="1"/>
      <protection locked="0"/>
    </xf>
    <xf numFmtId="0" fontId="6" fillId="0" borderId="86" xfId="5" applyNumberFormat="1" applyFont="1" applyFill="1" applyBorder="1" applyAlignment="1" applyProtection="1">
      <alignment horizontal="left" vertical="center" wrapText="1" indent="1"/>
      <protection locked="0"/>
    </xf>
    <xf numFmtId="0" fontId="6" fillId="0" borderId="63" xfId="5" applyNumberFormat="1" applyFont="1" applyFill="1" applyBorder="1" applyAlignment="1" applyProtection="1">
      <alignment horizontal="left" vertical="center" wrapText="1" indent="1"/>
      <protection locked="0"/>
    </xf>
    <xf numFmtId="0" fontId="6" fillId="0" borderId="93" xfId="5" applyNumberFormat="1" applyFont="1" applyFill="1" applyBorder="1" applyAlignment="1" applyProtection="1">
      <alignment horizontal="left" vertical="center" wrapText="1" indent="1"/>
      <protection locked="0"/>
    </xf>
    <xf numFmtId="0" fontId="6" fillId="0" borderId="90" xfId="5" applyNumberFormat="1" applyFont="1" applyFill="1" applyBorder="1" applyAlignment="1" applyProtection="1">
      <alignment horizontal="left" vertical="center" wrapText="1" indent="1"/>
      <protection locked="0"/>
    </xf>
    <xf numFmtId="0" fontId="7" fillId="0" borderId="9" xfId="0" applyFont="1" applyFill="1" applyBorder="1" applyAlignment="1" applyProtection="1">
      <alignment horizontal="center" vertical="top" wrapText="1"/>
      <protection hidden="1"/>
    </xf>
    <xf numFmtId="0" fontId="7" fillId="0" borderId="40" xfId="0" applyNumberFormat="1" applyFont="1" applyFill="1" applyBorder="1" applyAlignment="1" applyProtection="1">
      <alignment horizontal="center" vertical="center"/>
      <protection hidden="1"/>
    </xf>
    <xf numFmtId="0" fontId="7" fillId="0" borderId="32" xfId="0" applyNumberFormat="1" applyFont="1" applyFill="1" applyBorder="1" applyAlignment="1" applyProtection="1">
      <alignment horizontal="center" vertical="center"/>
      <protection hidden="1"/>
    </xf>
    <xf numFmtId="0" fontId="0" fillId="0" borderId="114" xfId="0" applyBorder="1" applyAlignment="1" applyProtection="1">
      <alignment horizontal="left" vertical="center" wrapText="1" indent="1"/>
      <protection locked="0"/>
    </xf>
    <xf numFmtId="0" fontId="0" fillId="0" borderId="119" xfId="0" applyBorder="1" applyAlignment="1" applyProtection="1">
      <alignment horizontal="left" vertical="center" wrapText="1" indent="1"/>
      <protection locked="0"/>
    </xf>
    <xf numFmtId="0" fontId="0" fillId="0" borderId="50" xfId="0" applyBorder="1" applyAlignment="1" applyProtection="1">
      <alignment horizontal="left" vertical="center" wrapText="1" indent="1"/>
      <protection locked="0"/>
    </xf>
    <xf numFmtId="0" fontId="0" fillId="0" borderId="86" xfId="0" applyBorder="1" applyAlignment="1" applyProtection="1">
      <alignment horizontal="left" vertical="center" wrapText="1" indent="1"/>
      <protection locked="0"/>
    </xf>
    <xf numFmtId="0" fontId="7" fillId="0" borderId="46" xfId="0" applyNumberFormat="1" applyFont="1" applyFill="1" applyBorder="1" applyAlignment="1" applyProtection="1">
      <alignment horizontal="left" vertical="center" indent="1"/>
      <protection hidden="1"/>
    </xf>
    <xf numFmtId="0" fontId="7" fillId="0" borderId="81" xfId="0" applyNumberFormat="1" applyFont="1" applyFill="1" applyBorder="1" applyAlignment="1" applyProtection="1">
      <alignment horizontal="left" vertical="center" indent="1"/>
      <protection hidden="1"/>
    </xf>
    <xf numFmtId="0" fontId="7" fillId="0" borderId="82" xfId="0" applyNumberFormat="1" applyFont="1" applyFill="1" applyBorder="1" applyAlignment="1" applyProtection="1">
      <alignment horizontal="left" vertical="center" indent="1"/>
      <protection hidden="1"/>
    </xf>
    <xf numFmtId="172" fontId="7" fillId="5" borderId="85" xfId="0" applyNumberFormat="1" applyFont="1" applyFill="1" applyBorder="1" applyAlignment="1" applyProtection="1">
      <alignment horizontal="center" vertical="top" wrapText="1"/>
      <protection hidden="1"/>
    </xf>
    <xf numFmtId="0" fontId="6" fillId="5" borderId="77" xfId="0" applyFont="1" applyFill="1" applyBorder="1" applyAlignment="1" applyProtection="1">
      <alignment horizontal="center" vertical="top" wrapText="1"/>
      <protection hidden="1"/>
    </xf>
    <xf numFmtId="0" fontId="19" fillId="5" borderId="21" xfId="0" applyFont="1" applyFill="1" applyBorder="1" applyAlignment="1" applyProtection="1">
      <alignment horizontal="left" vertical="center" wrapText="1" indent="2"/>
      <protection hidden="1"/>
    </xf>
    <xf numFmtId="0" fontId="6" fillId="0" borderId="10" xfId="0" applyFont="1" applyBorder="1" applyAlignment="1" applyProtection="1">
      <alignment horizontal="left" vertical="center" wrapText="1" indent="2"/>
      <protection hidden="1"/>
    </xf>
    <xf numFmtId="0" fontId="6" fillId="0" borderId="77" xfId="0" applyFont="1" applyBorder="1" applyAlignment="1" applyProtection="1">
      <alignment horizontal="center" vertical="top" wrapText="1"/>
      <protection hidden="1"/>
    </xf>
    <xf numFmtId="0" fontId="19" fillId="5" borderId="10" xfId="0" applyFont="1" applyFill="1" applyBorder="1" applyAlignment="1" applyProtection="1">
      <alignment horizontal="left" vertical="center" wrapText="1" indent="2"/>
      <protection hidden="1"/>
    </xf>
    <xf numFmtId="172" fontId="7" fillId="5" borderId="40" xfId="0" applyNumberFormat="1" applyFont="1" applyFill="1" applyBorder="1" applyAlignment="1" applyProtection="1">
      <alignment horizontal="center" vertical="top" wrapText="1"/>
      <protection hidden="1"/>
    </xf>
    <xf numFmtId="0" fontId="6" fillId="0" borderId="32" xfId="0" applyFont="1" applyBorder="1" applyAlignment="1" applyProtection="1">
      <alignment horizontal="center" vertical="top" wrapText="1"/>
      <protection hidden="1"/>
    </xf>
    <xf numFmtId="0" fontId="7" fillId="5" borderId="85" xfId="0" applyFont="1" applyFill="1" applyBorder="1" applyAlignment="1" applyProtection="1">
      <alignment horizontal="center" vertical="center" wrapText="1"/>
      <protection hidden="1"/>
    </xf>
    <xf numFmtId="0" fontId="7" fillId="5" borderId="77" xfId="0" applyFont="1" applyFill="1" applyBorder="1" applyAlignment="1" applyProtection="1">
      <alignment horizontal="center" vertical="center" wrapText="1"/>
      <protection hidden="1"/>
    </xf>
    <xf numFmtId="0" fontId="7" fillId="5" borderId="84" xfId="0" applyFont="1" applyFill="1" applyBorder="1" applyAlignment="1" applyProtection="1">
      <alignment horizontal="center" vertical="center" wrapText="1"/>
      <protection hidden="1"/>
    </xf>
    <xf numFmtId="0" fontId="7" fillId="5" borderId="78" xfId="0" applyFont="1" applyFill="1" applyBorder="1" applyAlignment="1" applyProtection="1">
      <alignment horizontal="center" vertical="center" wrapText="1"/>
      <protection hidden="1"/>
    </xf>
    <xf numFmtId="0" fontId="10" fillId="0" borderId="84" xfId="0" applyNumberFormat="1" applyFont="1" applyFill="1" applyBorder="1" applyAlignment="1" applyProtection="1">
      <alignment horizontal="center" vertical="center" wrapText="1"/>
      <protection hidden="1"/>
    </xf>
    <xf numFmtId="0" fontId="10" fillId="0" borderId="25" xfId="0" applyNumberFormat="1" applyFont="1" applyFill="1" applyBorder="1" applyAlignment="1" applyProtection="1">
      <alignment horizontal="center" vertical="top" wrapText="1"/>
      <protection hidden="1"/>
    </xf>
    <xf numFmtId="0" fontId="10" fillId="0" borderId="8" xfId="0" applyNumberFormat="1" applyFont="1" applyFill="1" applyBorder="1" applyAlignment="1" applyProtection="1">
      <alignment horizontal="center" vertical="top" wrapText="1"/>
      <protection hidden="1"/>
    </xf>
    <xf numFmtId="0" fontId="10" fillId="0" borderId="83" xfId="0" applyFont="1" applyBorder="1" applyAlignment="1" applyProtection="1">
      <alignment horizontal="center" vertical="center"/>
      <protection hidden="1"/>
    </xf>
    <xf numFmtId="0" fontId="10" fillId="0" borderId="84" xfId="0" applyFont="1" applyBorder="1" applyAlignment="1" applyProtection="1">
      <alignment horizontal="center" vertical="center"/>
      <protection hidden="1"/>
    </xf>
    <xf numFmtId="0" fontId="10" fillId="0" borderId="78" xfId="0" applyFont="1" applyBorder="1" applyAlignment="1" applyProtection="1">
      <alignment horizontal="center" vertical="center"/>
      <protection hidden="1"/>
    </xf>
    <xf numFmtId="0" fontId="10" fillId="0" borderId="85" xfId="0" applyNumberFormat="1" applyFont="1" applyFill="1" applyBorder="1" applyAlignment="1" applyProtection="1">
      <alignment horizontal="center" vertical="center" wrapText="1"/>
      <protection hidden="1"/>
    </xf>
    <xf numFmtId="0" fontId="10" fillId="0" borderId="78" xfId="0" applyNumberFormat="1" applyFont="1" applyFill="1" applyBorder="1" applyAlignment="1" applyProtection="1">
      <alignment horizontal="center" vertical="center" wrapText="1"/>
      <protection hidden="1"/>
    </xf>
    <xf numFmtId="0" fontId="10" fillId="0" borderId="85" xfId="0" applyFont="1" applyFill="1" applyBorder="1" applyAlignment="1" applyProtection="1">
      <alignment horizontal="center" vertical="top"/>
      <protection hidden="1"/>
    </xf>
    <xf numFmtId="0" fontId="10" fillId="0" borderId="78" xfId="0" applyFont="1" applyFill="1" applyBorder="1" applyAlignment="1" applyProtection="1">
      <alignment horizontal="center" vertical="top"/>
      <protection hidden="1"/>
    </xf>
    <xf numFmtId="0" fontId="10" fillId="0" borderId="83" xfId="0" applyFont="1" applyFill="1" applyBorder="1" applyAlignment="1" applyProtection="1">
      <alignment horizontal="center" vertical="top" wrapText="1"/>
      <protection hidden="1"/>
    </xf>
    <xf numFmtId="0" fontId="10" fillId="0" borderId="78" xfId="0" applyFont="1" applyFill="1" applyBorder="1" applyAlignment="1" applyProtection="1">
      <alignment horizontal="center" vertical="top" wrapText="1"/>
      <protection hidden="1"/>
    </xf>
    <xf numFmtId="0" fontId="10" fillId="0" borderId="85" xfId="8" applyNumberFormat="1" applyFont="1" applyBorder="1" applyAlignment="1" applyProtection="1">
      <alignment horizontal="center" vertical="top" wrapText="1"/>
      <protection hidden="1"/>
    </xf>
    <xf numFmtId="0" fontId="10" fillId="0" borderId="77" xfId="8" applyNumberFormat="1" applyFont="1" applyBorder="1" applyAlignment="1" applyProtection="1">
      <alignment horizontal="center" vertical="top" wrapText="1"/>
      <protection hidden="1"/>
    </xf>
    <xf numFmtId="0" fontId="10" fillId="0" borderId="77" xfId="0" applyFont="1" applyFill="1" applyBorder="1" applyAlignment="1" applyProtection="1">
      <alignment horizontal="center" vertical="top"/>
      <protection hidden="1"/>
    </xf>
    <xf numFmtId="0" fontId="10" fillId="0" borderId="85" xfId="0" applyFont="1" applyBorder="1" applyAlignment="1" applyProtection="1">
      <alignment horizontal="center" vertical="center"/>
      <protection hidden="1"/>
    </xf>
    <xf numFmtId="0" fontId="10" fillId="0" borderId="77" xfId="0" applyFont="1" applyBorder="1" applyAlignment="1" applyProtection="1">
      <alignment horizontal="center" vertical="center"/>
      <protection hidden="1"/>
    </xf>
    <xf numFmtId="0" fontId="10" fillId="0" borderId="58" xfId="0" applyFont="1" applyBorder="1" applyAlignment="1" applyProtection="1">
      <alignment horizontal="center" vertical="top" wrapText="1"/>
      <protection hidden="1"/>
    </xf>
    <xf numFmtId="0" fontId="10" fillId="0" borderId="0" xfId="0" applyFont="1" applyBorder="1" applyAlignment="1" applyProtection="1">
      <alignment horizontal="center" vertical="top" wrapText="1"/>
      <protection hidden="1"/>
    </xf>
    <xf numFmtId="0" fontId="10" fillId="0" borderId="85" xfId="0" applyFont="1" applyFill="1" applyBorder="1" applyAlignment="1" applyProtection="1">
      <alignment horizontal="center" vertical="top" wrapText="1"/>
      <protection hidden="1"/>
    </xf>
    <xf numFmtId="0" fontId="10" fillId="0" borderId="77" xfId="0" applyFont="1" applyFill="1" applyBorder="1" applyAlignment="1" applyProtection="1">
      <alignment horizontal="center" vertical="top" wrapText="1"/>
      <protection hidden="1"/>
    </xf>
    <xf numFmtId="0" fontId="10" fillId="0" borderId="84" xfId="0" applyFont="1" applyFill="1" applyBorder="1" applyAlignment="1" applyProtection="1">
      <alignment horizontal="center" vertical="top" wrapText="1"/>
      <protection hidden="1"/>
    </xf>
    <xf numFmtId="0" fontId="11" fillId="0" borderId="85" xfId="0" applyFont="1" applyFill="1" applyBorder="1" applyAlignment="1" applyProtection="1">
      <alignment horizontal="center" vertical="top" wrapText="1"/>
      <protection hidden="1"/>
    </xf>
    <xf numFmtId="0" fontId="11" fillId="0" borderId="77" xfId="0" applyFont="1" applyFill="1" applyBorder="1" applyAlignment="1" applyProtection="1">
      <alignment horizontal="center" vertical="top" wrapText="1"/>
      <protection hidden="1"/>
    </xf>
    <xf numFmtId="0" fontId="10" fillId="0" borderId="84" xfId="0" applyFont="1" applyFill="1" applyBorder="1" applyAlignment="1" applyProtection="1">
      <alignment horizontal="center" vertical="top"/>
      <protection hidden="1"/>
    </xf>
    <xf numFmtId="0" fontId="10" fillId="0" borderId="80" xfId="0" applyFont="1" applyFill="1" applyBorder="1" applyAlignment="1" applyProtection="1">
      <alignment horizontal="center" vertical="top" wrapText="1"/>
      <protection hidden="1"/>
    </xf>
    <xf numFmtId="0" fontId="10" fillId="0" borderId="71" xfId="0" applyFont="1" applyBorder="1" applyAlignment="1" applyProtection="1">
      <alignment horizontal="center" vertical="top" wrapText="1"/>
      <protection hidden="1"/>
    </xf>
    <xf numFmtId="0" fontId="10" fillId="0" borderId="27" xfId="0" applyFont="1" applyBorder="1" applyAlignment="1" applyProtection="1">
      <alignment horizontal="center" vertical="top" wrapText="1"/>
      <protection hidden="1"/>
    </xf>
    <xf numFmtId="172" fontId="10" fillId="0" borderId="85" xfId="0" applyNumberFormat="1" applyFont="1" applyFill="1" applyBorder="1" applyAlignment="1" applyProtection="1">
      <alignment horizontal="center" vertical="center"/>
      <protection hidden="1"/>
    </xf>
    <xf numFmtId="172" fontId="10" fillId="0" borderId="84" xfId="0" applyNumberFormat="1" applyFont="1" applyFill="1" applyBorder="1" applyAlignment="1" applyProtection="1">
      <alignment horizontal="center" vertical="center"/>
      <protection hidden="1"/>
    </xf>
    <xf numFmtId="172" fontId="10" fillId="0" borderId="77" xfId="0" applyNumberFormat="1" applyFont="1" applyFill="1" applyBorder="1" applyAlignment="1" applyProtection="1">
      <alignment horizontal="center" vertical="center"/>
      <protection hidden="1"/>
    </xf>
  </cellXfs>
  <cellStyles count="13">
    <cellStyle name="Comma 2" xfId="1"/>
    <cellStyle name="Comma 2 2" xfId="2"/>
    <cellStyle name="Comma 3" xfId="3"/>
    <cellStyle name="Normal" xfId="0" builtinId="0"/>
    <cellStyle name="Normal 2" xfId="4"/>
    <cellStyle name="Normal 2 2" xfId="5"/>
    <cellStyle name="Normal 2 3" xfId="12"/>
    <cellStyle name="Normal 2_RUK by FSG, 08-09 to 10-11" xfId="11"/>
    <cellStyle name="Normal 3" xfId="6"/>
    <cellStyle name="Normal_ABDN" xfId="7"/>
    <cellStyle name="Normal_GFU and SSI Teaching Grants for 2012-13, Additional Science inc STEM" xfId="8"/>
    <cellStyle name="Normal_Linked Table3 2004-05" xfId="9"/>
    <cellStyle name="Normal_Table1 ABER first cut" xfId="10"/>
  </cellStyles>
  <dxfs count="146">
    <dxf>
      <font>
        <b/>
        <i val="0"/>
        <color rgb="FFFF0000"/>
      </font>
    </dxf>
    <dxf>
      <font>
        <b/>
        <i/>
        <condense val="0"/>
        <extend val="0"/>
      </font>
      <fill>
        <patternFill>
          <bgColor indexed="44"/>
        </patternFill>
      </fill>
      <border>
        <left/>
        <right/>
        <top/>
        <bottom/>
      </border>
    </dxf>
    <dxf>
      <font>
        <b/>
        <i val="0"/>
        <color rgb="FFFF0000"/>
      </font>
    </dxf>
    <dxf>
      <font>
        <color rgb="FF9C0006"/>
      </font>
    </dxf>
    <dxf>
      <font>
        <b/>
        <i val="0"/>
        <color rgb="FFFF0000"/>
      </font>
    </dxf>
    <dxf>
      <font>
        <b/>
        <i val="0"/>
        <color rgb="FFFF0000"/>
      </font>
    </dxf>
    <dxf>
      <font>
        <color rgb="FF9C0006"/>
      </font>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ont>
        <b/>
        <i/>
        <condense val="0"/>
        <extend val="0"/>
      </font>
      <fill>
        <patternFill>
          <bgColor indexed="44"/>
        </patternFill>
      </fill>
      <border>
        <left/>
        <right/>
        <top/>
        <bottom/>
      </border>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patternType="none">
          <bgColor indexed="65"/>
        </patternFill>
      </fill>
    </dxf>
    <dxf>
      <font>
        <b/>
        <i/>
        <condense val="0"/>
        <extend val="0"/>
      </font>
      <fill>
        <patternFill>
          <bgColor indexed="44"/>
        </patternFill>
      </fill>
      <border>
        <left/>
        <right/>
        <top/>
        <bottom/>
      </border>
    </dxf>
    <dxf>
      <fill>
        <patternFill>
          <bgColor rgb="FFCCFFFF"/>
        </patternFill>
      </fill>
    </dxf>
    <dxf>
      <fill>
        <patternFill patternType="none">
          <bgColor indexed="65"/>
        </patternFill>
      </fill>
    </dxf>
    <dxf>
      <fill>
        <patternFill patternType="none">
          <bgColor indexed="65"/>
        </patternFill>
      </fill>
    </dxf>
    <dxf>
      <font>
        <b/>
        <i/>
        <condense val="0"/>
        <extend val="0"/>
      </font>
      <fill>
        <patternFill>
          <bgColor indexed="44"/>
        </patternFill>
      </fill>
      <border>
        <left/>
        <right/>
        <top/>
        <bottom/>
      </border>
    </dxf>
    <dxf>
      <font>
        <color auto="1"/>
      </font>
      <fill>
        <patternFill>
          <bgColor rgb="FFCCFFFF"/>
        </patternFill>
      </fill>
    </dxf>
    <dxf>
      <font>
        <color auto="1"/>
      </font>
      <fill>
        <patternFill>
          <bgColor rgb="FFCCFFFF"/>
        </patternFill>
      </fill>
    </dxf>
    <dxf>
      <fill>
        <patternFill patternType="solid">
          <bgColor rgb="FFFFFFFF"/>
        </patternFill>
      </fill>
    </dxf>
    <dxf>
      <fill>
        <patternFill patternType="none">
          <bgColor indexed="65"/>
        </patternFill>
      </fill>
    </dxf>
    <dxf>
      <font>
        <b/>
        <i/>
        <condense val="0"/>
        <extend val="0"/>
      </font>
      <fill>
        <patternFill>
          <bgColor indexed="44"/>
        </patternFill>
      </fill>
      <border>
        <left/>
        <right/>
        <top/>
        <bottom/>
      </border>
    </dxf>
    <dxf>
      <fill>
        <patternFill>
          <bgColor rgb="FFFFFFFF"/>
        </patternFill>
      </fill>
    </dxf>
    <dxf>
      <fill>
        <patternFill>
          <bgColor rgb="FFCCFFFF"/>
        </patternFill>
      </fill>
    </dxf>
    <dxf>
      <font>
        <color rgb="FFCCFFFF"/>
      </font>
    </dxf>
    <dxf>
      <font>
        <color rgb="FFCCFFFF"/>
      </font>
    </dxf>
    <dxf>
      <fill>
        <patternFill>
          <bgColor rgb="FFCCFFFF"/>
        </patternFill>
      </fill>
    </dxf>
    <dxf>
      <fill>
        <patternFill patternType="none">
          <bgColor indexed="65"/>
        </patternFill>
      </fill>
    </dxf>
    <dxf>
      <font>
        <b/>
        <i/>
        <condense val="0"/>
        <extend val="0"/>
      </font>
      <fill>
        <patternFill>
          <bgColor indexed="44"/>
        </patternFill>
      </fill>
      <border>
        <left/>
        <right/>
        <top/>
        <bottom/>
      </border>
    </dxf>
    <dxf>
      <font>
        <color rgb="FFCCFFFF"/>
      </font>
    </dxf>
    <dxf>
      <font>
        <color rgb="FFCCFFFF"/>
      </font>
    </dxf>
    <dxf>
      <font>
        <color rgb="FFCCFFFF"/>
      </font>
    </dxf>
    <dxf>
      <font>
        <color rgb="FFCCFFFF"/>
      </font>
    </dxf>
    <dxf>
      <font>
        <color rgb="FFCCFFFF"/>
      </font>
    </dxf>
    <dxf>
      <font>
        <color rgb="FFCCFFFF"/>
      </font>
    </dxf>
    <dxf>
      <fill>
        <patternFill>
          <bgColor rgb="FFCCFFFF"/>
        </patternFill>
      </fill>
    </dxf>
    <dxf>
      <fill>
        <patternFill>
          <bgColor rgb="FFCCFFFF"/>
        </patternFill>
      </fill>
    </dxf>
    <dxf>
      <fill>
        <patternFill>
          <bgColor rgb="FFCCFFFF"/>
        </patternFill>
      </fill>
    </dxf>
    <dxf>
      <fill>
        <patternFill patternType="none">
          <bgColor indexed="65"/>
        </patternFill>
      </fill>
    </dxf>
    <dxf>
      <font>
        <b/>
        <i/>
        <condense val="0"/>
        <extend val="0"/>
      </font>
      <fill>
        <patternFill>
          <bgColor indexed="44"/>
        </patternFill>
      </fill>
      <border>
        <left/>
        <right/>
        <top/>
        <bottom/>
      </border>
    </dxf>
    <dxf>
      <font>
        <color rgb="FFCCFFFF"/>
      </font>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indexed="65"/>
        </patternFill>
      </fill>
    </dxf>
    <dxf>
      <font>
        <b/>
        <i/>
        <condense val="0"/>
        <extend val="0"/>
      </font>
      <fill>
        <patternFill>
          <bgColor indexed="44"/>
        </patternFill>
      </fill>
      <border>
        <left/>
        <right/>
        <top/>
        <bottom/>
      </border>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indexed="65"/>
        </patternFill>
      </fill>
    </dxf>
    <dxf>
      <font>
        <b/>
        <i/>
        <condense val="0"/>
        <extend val="0"/>
      </font>
      <fill>
        <patternFill>
          <bgColor indexed="44"/>
        </patternFill>
      </fill>
      <border>
        <left/>
        <right/>
        <top/>
        <bottom/>
      </border>
    </dxf>
    <dxf>
      <fill>
        <patternFill>
          <bgColor rgb="FFFFFFFF"/>
        </patternFill>
      </fill>
    </dxf>
    <dxf>
      <font>
        <color rgb="FFCCFFFF"/>
      </font>
    </dxf>
    <dxf>
      <fill>
        <patternFill>
          <bgColor rgb="FFCCFFFF"/>
        </patternFill>
      </fill>
    </dxf>
    <dxf>
      <font>
        <b/>
        <i/>
        <condense val="0"/>
        <extend val="0"/>
      </font>
      <fill>
        <patternFill>
          <bgColor indexed="44"/>
        </patternFill>
      </fill>
      <border>
        <left/>
        <right/>
        <top/>
        <bottom/>
      </border>
    </dxf>
    <dxf>
      <font>
        <b/>
        <i val="0"/>
        <condense val="0"/>
        <extend val="0"/>
        <color auto="1"/>
      </font>
      <fill>
        <patternFill>
          <bgColor indexed="44"/>
        </patternFill>
      </fill>
      <border>
        <left/>
        <right/>
        <top/>
        <bottom/>
      </border>
    </dxf>
    <dxf>
      <font>
        <b/>
        <i val="0"/>
        <condense val="0"/>
        <extend val="0"/>
        <color indexed="10"/>
      </font>
      <fill>
        <patternFill>
          <bgColor indexed="9"/>
        </patternFill>
      </fill>
      <border>
        <left/>
        <right/>
        <top/>
        <bottom/>
      </border>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CCFFFF"/>
      </font>
    </dxf>
    <dxf>
      <fill>
        <patternFill>
          <bgColor rgb="FFCCFFFF"/>
        </patternFill>
      </fill>
    </dxf>
    <dxf>
      <fill>
        <patternFill patternType="none">
          <bgColor indexed="65"/>
        </patternFill>
      </fill>
    </dxf>
    <dxf>
      <font>
        <b/>
        <i val="0"/>
      </font>
      <fill>
        <patternFill patternType="none">
          <bgColor auto="1"/>
        </patternFill>
      </fill>
    </dxf>
  </dxfs>
  <tableStyles count="0" defaultTableStyle="TableStyleMedium2" defaultPivotStyle="PivotStyleLight16"/>
  <colors>
    <mruColors>
      <color rgb="FFCCFFFF"/>
      <color rgb="FFCCECFF"/>
      <color rgb="FF66CCFF"/>
      <color rgb="FF000000"/>
      <color rgb="FFFFFFFF"/>
      <color rgb="FFCCC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zoomScale="80" zoomScaleNormal="80" workbookViewId="0"/>
  </sheetViews>
  <sheetFormatPr defaultRowHeight="15"/>
  <cols>
    <col min="1" max="1" width="3.7109375" style="1547" customWidth="1"/>
    <col min="2" max="2" width="7.7109375" style="1547" customWidth="1"/>
    <col min="3" max="3" width="145.7109375" style="1547" customWidth="1"/>
    <col min="4" max="4" width="14.28515625" style="1547" customWidth="1"/>
    <col min="5" max="16384" width="9.140625" style="1547"/>
  </cols>
  <sheetData>
    <row r="1" spans="1:5" ht="24.95" customHeight="1">
      <c r="A1" s="1234"/>
      <c r="B1" s="1235" t="s">
        <v>390</v>
      </c>
      <c r="C1" s="1236"/>
      <c r="D1" s="1236"/>
      <c r="E1" s="1237"/>
    </row>
    <row r="2" spans="1:5" ht="24.95" customHeight="1">
      <c r="A2" s="1238"/>
      <c r="B2" s="1052" t="s">
        <v>0</v>
      </c>
      <c r="C2" s="1230"/>
      <c r="D2" s="1230"/>
      <c r="E2" s="1239"/>
    </row>
    <row r="3" spans="1:5" ht="24.95" customHeight="1">
      <c r="A3" s="1238"/>
      <c r="B3" s="1610" t="str">
        <f>Background!$D$2</f>
        <v>Glasgow, University of</v>
      </c>
      <c r="C3" s="1611"/>
      <c r="D3" s="1233"/>
      <c r="E3" s="1240"/>
    </row>
    <row r="4" spans="1:5" ht="24.95" customHeight="1">
      <c r="A4" s="1238"/>
      <c r="B4" s="1150" t="s">
        <v>391</v>
      </c>
      <c r="C4" s="576"/>
      <c r="D4" s="576"/>
      <c r="E4" s="1049"/>
    </row>
    <row r="5" spans="1:5" ht="9.9499999999999993" customHeight="1" thickBot="1">
      <c r="A5" s="1238"/>
      <c r="B5" s="576"/>
      <c r="C5" s="576"/>
      <c r="D5" s="576"/>
      <c r="E5" s="1049"/>
    </row>
    <row r="6" spans="1:5" ht="24.95" customHeight="1">
      <c r="A6" s="1238"/>
      <c r="B6" s="1606" t="s">
        <v>392</v>
      </c>
      <c r="C6" s="1607"/>
      <c r="D6" s="1608" t="s">
        <v>393</v>
      </c>
      <c r="E6" s="1049"/>
    </row>
    <row r="7" spans="1:5" ht="45" customHeight="1">
      <c r="A7" s="1238"/>
      <c r="B7" s="1231" t="s">
        <v>248</v>
      </c>
      <c r="C7" s="1232" t="s">
        <v>175</v>
      </c>
      <c r="D7" s="1609"/>
      <c r="E7" s="1049"/>
    </row>
    <row r="8" spans="1:5" ht="30" customHeight="1">
      <c r="A8" s="1238"/>
      <c r="B8" s="1246">
        <v>1</v>
      </c>
      <c r="C8" s="1247" t="s">
        <v>304</v>
      </c>
      <c r="D8" s="1255" t="s">
        <v>396</v>
      </c>
      <c r="E8" s="1242"/>
    </row>
    <row r="9" spans="1:5" ht="30" customHeight="1">
      <c r="A9" s="1238"/>
      <c r="B9" s="1244" t="s">
        <v>198</v>
      </c>
      <c r="C9" s="1245" t="s">
        <v>327</v>
      </c>
      <c r="D9" s="1243" t="str">
        <f>IF(E9&gt;0,"YES","")</f>
        <v>YES</v>
      </c>
      <c r="E9" s="1254">
        <f>VLOOKUP(Background!$C$2,Inst_Tables,3,FALSE)</f>
        <v>1</v>
      </c>
    </row>
    <row r="10" spans="1:5" ht="30" customHeight="1">
      <c r="A10" s="1238"/>
      <c r="B10" s="1244" t="s">
        <v>199</v>
      </c>
      <c r="C10" s="1245" t="s">
        <v>302</v>
      </c>
      <c r="D10" s="1243" t="str">
        <f t="shared" ref="D10:D20" si="0">IF(E10&gt;0,"YES","")</f>
        <v/>
      </c>
      <c r="E10" s="1254">
        <f>VLOOKUP(Background!$C$2,Inst_Tables,4,FALSE)</f>
        <v>0</v>
      </c>
    </row>
    <row r="11" spans="1:5" ht="30" customHeight="1">
      <c r="A11" s="1238"/>
      <c r="B11" s="1244" t="s">
        <v>200</v>
      </c>
      <c r="C11" s="1245" t="s">
        <v>328</v>
      </c>
      <c r="D11" s="1243" t="str">
        <f t="shared" si="0"/>
        <v>YES</v>
      </c>
      <c r="E11" s="1254">
        <f>VLOOKUP(Background!$C$2,Inst_Tables,5,FALSE)</f>
        <v>1</v>
      </c>
    </row>
    <row r="12" spans="1:5" ht="30" customHeight="1">
      <c r="A12" s="1238"/>
      <c r="B12" s="1244" t="s">
        <v>353</v>
      </c>
      <c r="C12" s="1245" t="s">
        <v>394</v>
      </c>
      <c r="D12" s="1243" t="str">
        <f t="shared" si="0"/>
        <v>YES</v>
      </c>
      <c r="E12" s="1254">
        <f>VLOOKUP(Background!$C$2,Inst_Tables,6,FALSE)</f>
        <v>1</v>
      </c>
    </row>
    <row r="13" spans="1:5" ht="30" customHeight="1">
      <c r="A13" s="1238"/>
      <c r="B13" s="1244">
        <v>3</v>
      </c>
      <c r="C13" s="1245" t="s">
        <v>334</v>
      </c>
      <c r="D13" s="1243" t="str">
        <f t="shared" si="0"/>
        <v>YES</v>
      </c>
      <c r="E13" s="1254">
        <f>VLOOKUP(Background!$C$2,Inst_Tables,7,FALSE)</f>
        <v>1</v>
      </c>
    </row>
    <row r="14" spans="1:5" ht="30" customHeight="1">
      <c r="A14" s="1238"/>
      <c r="B14" s="1244" t="s">
        <v>312</v>
      </c>
      <c r="C14" s="1245" t="s">
        <v>432</v>
      </c>
      <c r="D14" s="1243" t="str">
        <f t="shared" si="0"/>
        <v/>
      </c>
      <c r="E14" s="1254">
        <f>VLOOKUP(Background!$C$2,Inst_Tables,8,FALSE)</f>
        <v>0</v>
      </c>
    </row>
    <row r="15" spans="1:5" ht="30" customHeight="1">
      <c r="A15" s="1238"/>
      <c r="B15" s="1244" t="s">
        <v>313</v>
      </c>
      <c r="C15" s="1245" t="s">
        <v>433</v>
      </c>
      <c r="D15" s="1243" t="str">
        <f t="shared" si="0"/>
        <v>YES</v>
      </c>
      <c r="E15" s="1254">
        <f>VLOOKUP(Background!$C$2,Inst_Tables,9,FALSE)</f>
        <v>1</v>
      </c>
    </row>
    <row r="16" spans="1:5" ht="30" customHeight="1">
      <c r="A16" s="1238"/>
      <c r="B16" s="1244" t="s">
        <v>256</v>
      </c>
      <c r="C16" s="1245" t="s">
        <v>395</v>
      </c>
      <c r="D16" s="1243" t="str">
        <f t="shared" si="0"/>
        <v>YES</v>
      </c>
      <c r="E16" s="1254">
        <f>VLOOKUP(Background!$C$2,Inst_Tables,10,FALSE)</f>
        <v>1</v>
      </c>
    </row>
    <row r="17" spans="1:5" ht="30" customHeight="1">
      <c r="A17" s="1238"/>
      <c r="B17" s="1244" t="s">
        <v>257</v>
      </c>
      <c r="C17" s="1245" t="s">
        <v>350</v>
      </c>
      <c r="D17" s="1243" t="str">
        <f t="shared" si="0"/>
        <v>YES</v>
      </c>
      <c r="E17" s="1254">
        <f>VLOOKUP(Background!$C$2,Inst_Tables,11,FALSE)</f>
        <v>1</v>
      </c>
    </row>
    <row r="18" spans="1:5" ht="30" customHeight="1">
      <c r="A18" s="1238"/>
      <c r="B18" s="1244" t="s">
        <v>258</v>
      </c>
      <c r="C18" s="1245" t="s">
        <v>347</v>
      </c>
      <c r="D18" s="1243" t="str">
        <f t="shared" si="0"/>
        <v>YES</v>
      </c>
      <c r="E18" s="1254">
        <f>VLOOKUP(Background!$C$2,Inst_Tables,12,FALSE)</f>
        <v>1</v>
      </c>
    </row>
    <row r="19" spans="1:5" ht="30" customHeight="1">
      <c r="A19" s="1238"/>
      <c r="B19" s="1244" t="s">
        <v>259</v>
      </c>
      <c r="C19" s="1245" t="s">
        <v>345</v>
      </c>
      <c r="D19" s="1243" t="str">
        <f t="shared" si="0"/>
        <v>YES</v>
      </c>
      <c r="E19" s="1254">
        <f>VLOOKUP(Background!$C$2,Inst_Tables,13,FALSE)</f>
        <v>1</v>
      </c>
    </row>
    <row r="20" spans="1:5" ht="30" customHeight="1" thickBot="1">
      <c r="A20" s="1238"/>
      <c r="B20" s="1248" t="s">
        <v>260</v>
      </c>
      <c r="C20" s="1249" t="s">
        <v>343</v>
      </c>
      <c r="D20" s="1250" t="str">
        <f t="shared" si="0"/>
        <v>YES</v>
      </c>
      <c r="E20" s="1254">
        <f>VLOOKUP(Background!$C$2,Inst_Tables,14,FALSE)</f>
        <v>1</v>
      </c>
    </row>
    <row r="21" spans="1:5" ht="30" customHeight="1" thickTop="1" thickBot="1">
      <c r="A21" s="1238"/>
      <c r="B21" s="1251"/>
      <c r="C21" s="1252" t="s">
        <v>277</v>
      </c>
      <c r="D21" s="1253" t="s">
        <v>397</v>
      </c>
      <c r="E21" s="1049"/>
    </row>
    <row r="22" spans="1:5">
      <c r="A22" s="1241"/>
      <c r="B22" s="974"/>
      <c r="C22" s="974"/>
      <c r="D22" s="974"/>
      <c r="E22" s="976"/>
    </row>
  </sheetData>
  <sheetProtection password="E23E" sheet="1" objects="1" scenarios="1"/>
  <mergeCells count="3">
    <mergeCell ref="B6:C6"/>
    <mergeCell ref="D6:D7"/>
    <mergeCell ref="B3:C3"/>
  </mergeCells>
  <conditionalFormatting sqref="B9:D20">
    <cfRule type="expression" dxfId="145" priority="1">
      <formula>$E9&gt;0</formula>
    </cfRule>
  </conditionalFormatting>
  <pageMargins left="0.19685039370078741" right="0.19685039370078741" top="0.19685039370078741" bottom="0.39370078740157483" header="0" footer="0"/>
  <pageSetup paperSize="9" scale="8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zoomScale="80" zoomScaleNormal="80" workbookViewId="0"/>
  </sheetViews>
  <sheetFormatPr defaultRowHeight="15"/>
  <cols>
    <col min="1" max="1" width="2.7109375" style="1547" customWidth="1"/>
    <col min="2" max="2" width="69.140625" style="1547" customWidth="1"/>
    <col min="3" max="3" width="13.7109375" style="1547" customWidth="1"/>
    <col min="4" max="4" width="12.7109375" style="1547" customWidth="1"/>
    <col min="5" max="5" width="8.7109375" style="1547" customWidth="1"/>
    <col min="6" max="6" width="16.7109375" style="1547" hidden="1" customWidth="1"/>
    <col min="7" max="16384" width="9.140625" style="1547"/>
  </cols>
  <sheetData>
    <row r="1" spans="1:6" ht="39.950000000000003" customHeight="1">
      <c r="A1" s="576"/>
      <c r="B1" s="630" t="str">
        <f>IF(C4=0,"Your Institution Does Not Complete This Table","")</f>
        <v/>
      </c>
      <c r="C1" s="630"/>
      <c r="D1" s="630"/>
      <c r="E1" s="61"/>
      <c r="F1" s="62"/>
    </row>
    <row r="2" spans="1:6" s="1578" customFormat="1" ht="30" customHeight="1">
      <c r="A2" s="1153"/>
      <c r="B2" s="933" t="s">
        <v>351</v>
      </c>
      <c r="C2" s="933"/>
      <c r="D2" s="933"/>
      <c r="E2" s="935"/>
      <c r="F2" s="936"/>
    </row>
    <row r="3" spans="1:6" ht="35.1" customHeight="1">
      <c r="A3" s="951"/>
      <c r="B3" s="1149" t="s">
        <v>0</v>
      </c>
      <c r="C3" s="1296"/>
      <c r="D3" s="1019"/>
      <c r="E3" s="1049"/>
      <c r="F3" s="144"/>
    </row>
    <row r="4" spans="1:6" ht="35.1" customHeight="1">
      <c r="A4" s="951"/>
      <c r="B4" s="1022" t="str">
        <f>Background!$D$2</f>
        <v>Glasgow, University of</v>
      </c>
      <c r="C4" s="1297">
        <f>VLOOKUP(Background!$C$2,Inst_Tables,10,FALSE)</f>
        <v>1</v>
      </c>
      <c r="D4" s="1019"/>
      <c r="E4" s="1254"/>
      <c r="F4" s="144"/>
    </row>
    <row r="5" spans="1:6" s="1561" customFormat="1" ht="35.1" customHeight="1">
      <c r="A5" s="1044"/>
      <c r="B5" s="1150" t="s">
        <v>395</v>
      </c>
      <c r="C5" s="1150"/>
      <c r="D5" s="1150"/>
      <c r="E5" s="939"/>
      <c r="F5" s="165"/>
    </row>
    <row r="6" spans="1:6" s="1561" customFormat="1" ht="30" customHeight="1">
      <c r="A6" s="1044"/>
      <c r="B6" s="73" t="s">
        <v>454</v>
      </c>
      <c r="C6" s="73"/>
      <c r="D6" s="73"/>
      <c r="E6" s="939"/>
      <c r="F6" s="165"/>
    </row>
    <row r="7" spans="1:6" s="1561" customFormat="1" ht="24.95" customHeight="1">
      <c r="A7" s="1044"/>
      <c r="B7" s="73" t="s">
        <v>455</v>
      </c>
      <c r="C7" s="73"/>
      <c r="D7" s="73"/>
      <c r="E7" s="939"/>
      <c r="F7" s="1271"/>
    </row>
    <row r="8" spans="1:6" s="1561" customFormat="1" ht="15" customHeight="1" thickBot="1">
      <c r="A8" s="1044"/>
      <c r="B8" s="1047"/>
      <c r="C8" s="1047"/>
      <c r="D8" s="1047"/>
      <c r="E8" s="953"/>
      <c r="F8" s="1271"/>
    </row>
    <row r="9" spans="1:6" s="1561" customFormat="1" ht="24.95" customHeight="1">
      <c r="A9" s="1161"/>
      <c r="B9" s="1259"/>
      <c r="C9" s="1260"/>
      <c r="D9" s="1262" t="s">
        <v>32</v>
      </c>
      <c r="E9" s="1258"/>
      <c r="F9" s="1737" t="s">
        <v>403</v>
      </c>
    </row>
    <row r="10" spans="1:6" ht="35.1" customHeight="1">
      <c r="A10" s="951"/>
      <c r="B10" s="1265" t="s">
        <v>402</v>
      </c>
      <c r="C10" s="1263" t="s">
        <v>76</v>
      </c>
      <c r="D10" s="1264">
        <f>VLOOKUP(Background!$C$2,Inst_FPs,11,FALSE)</f>
        <v>200</v>
      </c>
      <c r="E10" s="222"/>
      <c r="F10" s="1737"/>
    </row>
    <row r="11" spans="1:6" ht="35.1" customHeight="1">
      <c r="A11" s="951"/>
      <c r="B11" s="1266" t="s">
        <v>406</v>
      </c>
      <c r="C11" s="1268" t="s">
        <v>47</v>
      </c>
      <c r="D11" s="1269">
        <v>138</v>
      </c>
      <c r="E11" s="222"/>
      <c r="F11" s="1737"/>
    </row>
    <row r="12" spans="1:6" ht="35.1" customHeight="1" thickBot="1">
      <c r="A12" s="951"/>
      <c r="B12" s="1267" t="s">
        <v>401</v>
      </c>
      <c r="C12" s="1270" t="s">
        <v>75</v>
      </c>
      <c r="D12" s="1040">
        <f>IF(D10&gt;0,D11-D10,"")</f>
        <v>-62</v>
      </c>
      <c r="E12" s="222"/>
      <c r="F12" s="944">
        <f>IF(AND(D10&gt;0,D11&gt;0),MIN(D10,D11),0)</f>
        <v>138</v>
      </c>
    </row>
    <row r="13" spans="1:6" ht="30" customHeight="1">
      <c r="A13" s="951"/>
      <c r="B13" s="1151" t="s">
        <v>411</v>
      </c>
      <c r="C13" s="1151"/>
      <c r="D13" s="1151"/>
      <c r="E13" s="222"/>
      <c r="F13" s="944"/>
    </row>
    <row r="14" spans="1:6" ht="24.95" customHeight="1">
      <c r="A14" s="951"/>
      <c r="B14" s="1151" t="s">
        <v>410</v>
      </c>
      <c r="C14" s="1151"/>
      <c r="D14" s="1151"/>
      <c r="E14" s="222"/>
      <c r="F14" s="944"/>
    </row>
    <row r="15" spans="1:6" ht="15" customHeight="1">
      <c r="A15" s="977"/>
      <c r="B15" s="1152"/>
      <c r="C15" s="1152"/>
      <c r="D15" s="1152"/>
      <c r="E15" s="976"/>
      <c r="F15" s="62"/>
    </row>
    <row r="16" spans="1:6" s="1579" customFormat="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sheetData>
  <sheetProtection password="E23E" sheet="1" objects="1" scenarios="1"/>
  <mergeCells count="1">
    <mergeCell ref="F9:F11"/>
  </mergeCells>
  <conditionalFormatting sqref="D11">
    <cfRule type="expression" dxfId="28" priority="103">
      <formula>$C$4=0</formula>
    </cfRule>
  </conditionalFormatting>
  <conditionalFormatting sqref="A1:E1">
    <cfRule type="expression" dxfId="27" priority="105">
      <formula>#REF!=0</formula>
    </cfRule>
  </conditionalFormatting>
  <dataValidations count="2">
    <dataValidation allowBlank="1" sqref="E5:E14 B10:C12 D9:D10 D12 B16:D65484 F9 E15:F65484 F12:F14 C3 B4 F2:F7 G1:IP1048576"/>
    <dataValidation type="custom" allowBlank="1" showErrorMessage="1" errorTitle="No HFU funded places" error="You cannot enter HFU funded student FTE where no HFU funded places exist " sqref="D11">
      <formula1>AND($D10&gt;0,$D11&gt;=0)</formula1>
    </dataValidation>
  </dataValidations>
  <pageMargins left="0.19685039370078741" right="0.19685039370078741" top="0.19685039370078741" bottom="0.39370078740157483"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1"/>
  <sheetViews>
    <sheetView zoomScale="80" zoomScaleNormal="80" workbookViewId="0"/>
  </sheetViews>
  <sheetFormatPr defaultRowHeight="15"/>
  <cols>
    <col min="1" max="1" width="2.7109375" style="1547" customWidth="1"/>
    <col min="2" max="2" width="76" style="1547" customWidth="1"/>
    <col min="3" max="5" width="18.7109375" style="1547" customWidth="1"/>
    <col min="6" max="6" width="5.7109375" style="1547" customWidth="1"/>
    <col min="7" max="7" width="16.7109375" style="1547" hidden="1" customWidth="1"/>
    <col min="8" max="16384" width="9.140625" style="1547"/>
  </cols>
  <sheetData>
    <row r="1" spans="1:7" ht="39.950000000000003" customHeight="1">
      <c r="A1" s="580"/>
      <c r="B1" s="1155" t="str">
        <f>IF(C4=0,"Your Institution Does Not Complete This Table","")</f>
        <v/>
      </c>
      <c r="C1" s="1154"/>
      <c r="D1" s="1154"/>
      <c r="E1" s="1154"/>
      <c r="F1" s="1154"/>
      <c r="G1" s="62"/>
    </row>
    <row r="2" spans="1:7" s="1578" customFormat="1" ht="30" customHeight="1">
      <c r="A2" s="1153"/>
      <c r="B2" s="933" t="s">
        <v>349</v>
      </c>
      <c r="C2" s="933"/>
      <c r="D2" s="933"/>
      <c r="E2" s="933"/>
      <c r="F2" s="935"/>
      <c r="G2" s="936"/>
    </row>
    <row r="3" spans="1:7" ht="39.950000000000003" customHeight="1">
      <c r="A3" s="951"/>
      <c r="B3" s="1149" t="s">
        <v>0</v>
      </c>
      <c r="C3" s="576"/>
      <c r="D3" s="576"/>
      <c r="E3" s="580"/>
      <c r="F3" s="959"/>
      <c r="G3" s="144"/>
    </row>
    <row r="4" spans="1:7" ht="39.950000000000003" customHeight="1">
      <c r="A4" s="951"/>
      <c r="B4" s="1022" t="str">
        <f>Background!$D$2</f>
        <v>Glasgow, University of</v>
      </c>
      <c r="C4" s="1298">
        <f>VLOOKUP(Background!$C$2,Inst_Tables,11,FALSE)</f>
        <v>1</v>
      </c>
      <c r="D4" s="1299"/>
      <c r="E4" s="1298"/>
      <c r="F4" s="1049"/>
      <c r="G4" s="144"/>
    </row>
    <row r="5" spans="1:7" s="1561" customFormat="1" ht="30" customHeight="1">
      <c r="A5" s="1044"/>
      <c r="B5" s="1115" t="s">
        <v>350</v>
      </c>
      <c r="C5" s="640"/>
      <c r="D5" s="640"/>
      <c r="E5" s="640"/>
      <c r="F5" s="939"/>
      <c r="G5" s="165"/>
    </row>
    <row r="6" spans="1:7" s="1561" customFormat="1" ht="24.95" customHeight="1">
      <c r="A6" s="1044"/>
      <c r="B6" s="73" t="s">
        <v>456</v>
      </c>
      <c r="C6" s="640"/>
      <c r="D6" s="640"/>
      <c r="E6" s="640"/>
      <c r="F6" s="939"/>
      <c r="G6" s="165"/>
    </row>
    <row r="7" spans="1:7" s="1561" customFormat="1" ht="24.95" customHeight="1">
      <c r="A7" s="1044"/>
      <c r="B7" s="73" t="s">
        <v>455</v>
      </c>
      <c r="C7" s="640"/>
      <c r="D7" s="640"/>
      <c r="E7" s="640"/>
      <c r="F7" s="939"/>
      <c r="G7" s="165"/>
    </row>
    <row r="8" spans="1:7" ht="15" customHeight="1" thickBot="1">
      <c r="A8" s="951"/>
      <c r="B8" s="998"/>
      <c r="C8" s="998"/>
      <c r="D8" s="998"/>
      <c r="E8" s="998"/>
      <c r="F8" s="1000"/>
      <c r="G8" s="62"/>
    </row>
    <row r="9" spans="1:7" ht="39.950000000000003" customHeight="1">
      <c r="A9" s="951"/>
      <c r="B9" s="1010"/>
      <c r="C9" s="1272" t="s">
        <v>405</v>
      </c>
      <c r="D9" s="1272"/>
      <c r="E9" s="1273"/>
      <c r="F9" s="959"/>
      <c r="G9" s="62"/>
    </row>
    <row r="10" spans="1:7" ht="54.95" customHeight="1">
      <c r="A10" s="951"/>
      <c r="B10" s="1011" t="s">
        <v>404</v>
      </c>
      <c r="C10" s="1274" t="s">
        <v>238</v>
      </c>
      <c r="D10" s="969" t="s">
        <v>239</v>
      </c>
      <c r="E10" s="970" t="s">
        <v>2</v>
      </c>
      <c r="F10" s="959"/>
      <c r="G10" s="62"/>
    </row>
    <row r="11" spans="1:7" ht="24.95" customHeight="1">
      <c r="A11" s="951"/>
      <c r="B11" s="1284"/>
      <c r="C11" s="1261" t="s">
        <v>32</v>
      </c>
      <c r="D11" s="648" t="s">
        <v>32</v>
      </c>
      <c r="E11" s="650" t="s">
        <v>32</v>
      </c>
      <c r="F11" s="959"/>
      <c r="G11" s="62"/>
    </row>
    <row r="12" spans="1:7" ht="24.95" customHeight="1">
      <c r="A12" s="951"/>
      <c r="B12" s="1012"/>
      <c r="C12" s="1261" t="s">
        <v>47</v>
      </c>
      <c r="D12" s="1261" t="s">
        <v>47</v>
      </c>
      <c r="E12" s="650" t="s">
        <v>75</v>
      </c>
      <c r="F12" s="959"/>
      <c r="G12" s="62"/>
    </row>
    <row r="13" spans="1:7" ht="24.95" customHeight="1" thickBot="1">
      <c r="A13" s="951"/>
      <c r="B13" s="1013"/>
      <c r="C13" s="1007" t="s">
        <v>4</v>
      </c>
      <c r="D13" s="1007" t="s">
        <v>5</v>
      </c>
      <c r="E13" s="1008" t="s">
        <v>6</v>
      </c>
      <c r="F13" s="959"/>
      <c r="G13" s="62"/>
    </row>
    <row r="14" spans="1:7" ht="35.1" customHeight="1">
      <c r="A14" s="951"/>
      <c r="B14" s="1014" t="s">
        <v>463</v>
      </c>
      <c r="C14" s="1009">
        <v>10</v>
      </c>
      <c r="D14" s="100"/>
      <c r="E14" s="971">
        <f>SUM(C14:D14)</f>
        <v>10</v>
      </c>
      <c r="F14" s="959"/>
      <c r="G14" s="62"/>
    </row>
    <row r="15" spans="1:7" ht="35.1" customHeight="1">
      <c r="A15" s="951"/>
      <c r="B15" s="1014" t="s">
        <v>464</v>
      </c>
      <c r="C15" s="1598">
        <v>1</v>
      </c>
      <c r="D15" s="100"/>
      <c r="E15" s="1043">
        <f t="shared" ref="E15:E22" si="0">SUM(C15:D15)</f>
        <v>1</v>
      </c>
      <c r="F15" s="959"/>
      <c r="G15" s="62"/>
    </row>
    <row r="16" spans="1:7" ht="35.1" customHeight="1">
      <c r="A16" s="951"/>
      <c r="B16" s="1014" t="s">
        <v>465</v>
      </c>
      <c r="C16" s="1598">
        <v>1</v>
      </c>
      <c r="D16" s="100"/>
      <c r="E16" s="1043">
        <f t="shared" si="0"/>
        <v>1</v>
      </c>
      <c r="F16" s="959"/>
      <c r="G16" s="62"/>
    </row>
    <row r="17" spans="1:7" ht="35.1" customHeight="1">
      <c r="A17" s="951"/>
      <c r="B17" s="1014"/>
      <c r="C17" s="1004"/>
      <c r="D17" s="100"/>
      <c r="E17" s="1043">
        <f t="shared" si="0"/>
        <v>0</v>
      </c>
      <c r="F17" s="959"/>
      <c r="G17" s="62"/>
    </row>
    <row r="18" spans="1:7" ht="35.1" customHeight="1">
      <c r="A18" s="951"/>
      <c r="B18" s="1014"/>
      <c r="C18" s="1004"/>
      <c r="D18" s="100"/>
      <c r="E18" s="1043">
        <f t="shared" si="0"/>
        <v>0</v>
      </c>
      <c r="F18" s="959"/>
      <c r="G18" s="62"/>
    </row>
    <row r="19" spans="1:7" ht="35.1" customHeight="1">
      <c r="A19" s="951"/>
      <c r="B19" s="1014"/>
      <c r="C19" s="1004"/>
      <c r="D19" s="100"/>
      <c r="E19" s="1043">
        <f t="shared" si="0"/>
        <v>0</v>
      </c>
      <c r="F19" s="959"/>
      <c r="G19" s="62"/>
    </row>
    <row r="20" spans="1:7" ht="35.1" customHeight="1">
      <c r="A20" s="951"/>
      <c r="B20" s="1014"/>
      <c r="C20" s="1004"/>
      <c r="D20" s="100"/>
      <c r="E20" s="1043">
        <f t="shared" si="0"/>
        <v>0</v>
      </c>
      <c r="F20" s="959"/>
      <c r="G20" s="144"/>
    </row>
    <row r="21" spans="1:7" ht="35.1" customHeight="1">
      <c r="A21" s="951"/>
      <c r="B21" s="1014"/>
      <c r="C21" s="1004"/>
      <c r="D21" s="100"/>
      <c r="E21" s="1043">
        <f t="shared" si="0"/>
        <v>0</v>
      </c>
      <c r="F21" s="959"/>
      <c r="G21" s="1283"/>
    </row>
    <row r="22" spans="1:7" ht="35.1" customHeight="1">
      <c r="A22" s="951"/>
      <c r="B22" s="1014"/>
      <c r="C22" s="1004"/>
      <c r="D22" s="100"/>
      <c r="E22" s="1043">
        <f t="shared" si="0"/>
        <v>0</v>
      </c>
      <c r="F22" s="959"/>
      <c r="G22" s="144"/>
    </row>
    <row r="23" spans="1:7" ht="35.1" customHeight="1">
      <c r="A23" s="951"/>
      <c r="B23" s="1276"/>
      <c r="C23" s="1277"/>
      <c r="D23" s="266"/>
      <c r="E23" s="1278">
        <f>SUM(C23:D23)</f>
        <v>0</v>
      </c>
      <c r="F23" s="959"/>
      <c r="G23" s="1737" t="s">
        <v>403</v>
      </c>
    </row>
    <row r="24" spans="1:7" ht="35.1" customHeight="1">
      <c r="A24" s="951"/>
      <c r="B24" s="1282" t="s">
        <v>2</v>
      </c>
      <c r="C24" s="1281">
        <f>SUM(C14:C23)</f>
        <v>12</v>
      </c>
      <c r="D24" s="1279">
        <f>SUM(D14:D23)</f>
        <v>0</v>
      </c>
      <c r="E24" s="1280">
        <f>SUM(C24:D24)</f>
        <v>12</v>
      </c>
      <c r="F24" s="959"/>
      <c r="G24" s="1737"/>
    </row>
    <row r="25" spans="1:7" ht="35.1" customHeight="1">
      <c r="A25" s="951"/>
      <c r="B25" s="1015" t="s">
        <v>228</v>
      </c>
      <c r="C25" s="1046"/>
      <c r="D25" s="1005"/>
      <c r="E25" s="963">
        <f>VLOOKUP(Background!$C$2,Inst_FPs,12,FALSE)</f>
        <v>12</v>
      </c>
      <c r="F25" s="959"/>
      <c r="G25" s="1737"/>
    </row>
    <row r="26" spans="1:7" ht="35.1" customHeight="1" thickBot="1">
      <c r="A26" s="951"/>
      <c r="B26" s="1016" t="s">
        <v>401</v>
      </c>
      <c r="C26" s="1045"/>
      <c r="D26" s="1006"/>
      <c r="E26" s="1275">
        <f>IF(E25&gt;0,E24-E25,"")</f>
        <v>0</v>
      </c>
      <c r="F26" s="959"/>
      <c r="G26" s="944">
        <f>IF(AND(E25&gt;0,E24&gt;0),MIN(E24,E25),0)</f>
        <v>12</v>
      </c>
    </row>
    <row r="27" spans="1:7" ht="30" customHeight="1">
      <c r="A27" s="951"/>
      <c r="B27" s="1151" t="s">
        <v>407</v>
      </c>
      <c r="C27" s="576"/>
      <c r="D27" s="576"/>
      <c r="E27" s="576"/>
      <c r="F27" s="959"/>
      <c r="G27" s="62"/>
    </row>
    <row r="28" spans="1:7" ht="20.100000000000001" customHeight="1">
      <c r="A28" s="951"/>
      <c r="B28" s="1151" t="s">
        <v>408</v>
      </c>
      <c r="C28" s="576"/>
      <c r="D28" s="576"/>
      <c r="E28" s="576"/>
      <c r="F28" s="959"/>
      <c r="G28" s="62"/>
    </row>
    <row r="29" spans="1:7" ht="20.100000000000001" customHeight="1">
      <c r="A29" s="977"/>
      <c r="B29" s="974"/>
      <c r="C29" s="974"/>
      <c r="D29" s="974"/>
      <c r="E29" s="974"/>
      <c r="F29" s="976"/>
      <c r="G29" s="62"/>
    </row>
    <row r="30" spans="1:7" s="1579" customFormat="1"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sheetData>
  <sheetProtection password="E23E" sheet="1" objects="1" scenarios="1"/>
  <mergeCells count="1">
    <mergeCell ref="G23:G25"/>
  </mergeCells>
  <conditionalFormatting sqref="B2">
    <cfRule type="expression" dxfId="26" priority="19" stopIfTrue="1">
      <formula>#REF!=0</formula>
    </cfRule>
  </conditionalFormatting>
  <conditionalFormatting sqref="B8">
    <cfRule type="expression" dxfId="25" priority="11" stopIfTrue="1">
      <formula>#REF!=0</formula>
    </cfRule>
  </conditionalFormatting>
  <conditionalFormatting sqref="A1:F1">
    <cfRule type="expression" dxfId="24" priority="108">
      <formula>#REF!=0</formula>
    </cfRule>
  </conditionalFormatting>
  <conditionalFormatting sqref="B17:D23 D14:D16">
    <cfRule type="expression" dxfId="23" priority="109">
      <formula>$C$4=0</formula>
    </cfRule>
  </conditionalFormatting>
  <conditionalFormatting sqref="B14:C16">
    <cfRule type="expression" dxfId="22" priority="1">
      <formula>$C$4=0</formula>
    </cfRule>
  </conditionalFormatting>
  <dataValidations count="1">
    <dataValidation allowBlank="1" sqref="B29 G26:G29 B30:G65498 E10:E29 C9:D29 F5:F29 B9:B26 G23 B4 C2:E2 G2:G19 H1:IQ1048576"/>
  </dataValidations>
  <pageMargins left="0.19685039370078741" right="0.19685039370078741" top="0.19685039370078741" bottom="0.39370078740157483" header="0" footer="0"/>
  <pageSetup paperSize="9" scale="6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4"/>
  <sheetViews>
    <sheetView zoomScale="80" zoomScaleNormal="80" workbookViewId="0"/>
  </sheetViews>
  <sheetFormatPr defaultRowHeight="15"/>
  <cols>
    <col min="1" max="1" width="2.7109375" style="1547" customWidth="1"/>
    <col min="2" max="2" width="110.7109375" style="1547" customWidth="1"/>
    <col min="3" max="3" width="18.7109375" style="1580" customWidth="1"/>
    <col min="4" max="4" width="12.7109375" style="1547" customWidth="1"/>
    <col min="5" max="5" width="14.5703125" style="1547" hidden="1" customWidth="1"/>
    <col min="6" max="16384" width="9.140625" style="1547"/>
  </cols>
  <sheetData>
    <row r="1" spans="1:5" ht="39.950000000000003" customHeight="1">
      <c r="A1" s="580"/>
      <c r="B1" s="630" t="str">
        <f>IF(C4=0,"Your Institution Does Not Complete This Table","")</f>
        <v/>
      </c>
      <c r="C1" s="61"/>
      <c r="D1" s="580"/>
      <c r="E1" s="62"/>
    </row>
    <row r="2" spans="1:5" s="1578" customFormat="1" ht="30" customHeight="1">
      <c r="A2" s="1153"/>
      <c r="B2" s="933" t="s">
        <v>346</v>
      </c>
      <c r="C2" s="934"/>
      <c r="D2" s="999"/>
      <c r="E2" s="936"/>
    </row>
    <row r="3" spans="1:5" ht="35.1" customHeight="1">
      <c r="A3" s="951"/>
      <c r="B3" s="1149" t="s">
        <v>0</v>
      </c>
      <c r="C3" s="580"/>
      <c r="D3" s="1049"/>
      <c r="E3" s="144"/>
    </row>
    <row r="4" spans="1:5" ht="35.1" customHeight="1">
      <c r="A4" s="951"/>
      <c r="B4" s="1022" t="str">
        <f>Background!$D$2</f>
        <v>Glasgow, University of</v>
      </c>
      <c r="C4" s="1042">
        <f>VLOOKUP(Background!$C$2,Inst_Tables,12,FALSE)</f>
        <v>1</v>
      </c>
      <c r="D4" s="1300"/>
      <c r="E4" s="144"/>
    </row>
    <row r="5" spans="1:5" s="1561" customFormat="1" ht="35.1" customHeight="1">
      <c r="A5" s="1044"/>
      <c r="B5" s="1115" t="s">
        <v>347</v>
      </c>
      <c r="C5" s="640"/>
      <c r="D5" s="1293"/>
      <c r="E5" s="165"/>
    </row>
    <row r="6" spans="1:5" s="1561" customFormat="1" ht="30" customHeight="1">
      <c r="A6" s="1044"/>
      <c r="B6" s="73" t="s">
        <v>457</v>
      </c>
      <c r="C6" s="640"/>
      <c r="D6" s="1293"/>
      <c r="E6" s="165"/>
    </row>
    <row r="7" spans="1:5" s="1561" customFormat="1" ht="24.95" customHeight="1">
      <c r="A7" s="1044"/>
      <c r="B7" s="73" t="s">
        <v>455</v>
      </c>
      <c r="C7" s="640"/>
      <c r="D7" s="1293"/>
      <c r="E7" s="165"/>
    </row>
    <row r="8" spans="1:5" ht="15" customHeight="1" thickBot="1">
      <c r="A8" s="951"/>
      <c r="B8" s="644"/>
      <c r="C8" s="940"/>
      <c r="D8" s="1049"/>
      <c r="E8" s="144"/>
    </row>
    <row r="9" spans="1:5" ht="80.099999999999994" customHeight="1">
      <c r="A9" s="951"/>
      <c r="B9" s="323"/>
      <c r="C9" s="1286" t="s">
        <v>409</v>
      </c>
      <c r="D9" s="1285"/>
      <c r="E9" s="144"/>
    </row>
    <row r="10" spans="1:5" ht="24.95" customHeight="1">
      <c r="A10" s="951"/>
      <c r="B10" s="1011" t="s">
        <v>240</v>
      </c>
      <c r="C10" s="1287" t="s">
        <v>32</v>
      </c>
      <c r="D10" s="1285"/>
      <c r="E10" s="62"/>
    </row>
    <row r="11" spans="1:5" ht="24.95" customHeight="1">
      <c r="A11" s="951"/>
      <c r="B11" s="1012"/>
      <c r="C11" s="1287" t="s">
        <v>47</v>
      </c>
      <c r="D11" s="1285"/>
      <c r="E11" s="62"/>
    </row>
    <row r="12" spans="1:5" ht="24.95" customHeight="1" thickBot="1">
      <c r="A12" s="951"/>
      <c r="B12" s="1013"/>
      <c r="C12" s="1288" t="s">
        <v>4</v>
      </c>
      <c r="D12" s="1294"/>
      <c r="E12" s="62"/>
    </row>
    <row r="13" spans="1:5" ht="35.1" customHeight="1">
      <c r="A13" s="951"/>
      <c r="B13" s="1024" t="s">
        <v>466</v>
      </c>
      <c r="C13" s="1289">
        <v>25</v>
      </c>
      <c r="D13" s="1285"/>
      <c r="E13" s="62"/>
    </row>
    <row r="14" spans="1:5" ht="35.1" customHeight="1">
      <c r="A14" s="951"/>
      <c r="B14" s="1023"/>
      <c r="C14" s="1290"/>
      <c r="D14" s="1285"/>
      <c r="E14" s="62"/>
    </row>
    <row r="15" spans="1:5" ht="35.1" customHeight="1">
      <c r="A15" s="951"/>
      <c r="B15" s="1023"/>
      <c r="C15" s="1290"/>
      <c r="D15" s="1285"/>
      <c r="E15" s="144"/>
    </row>
    <row r="16" spans="1:5" ht="35.1" customHeight="1">
      <c r="A16" s="951"/>
      <c r="B16" s="1023"/>
      <c r="C16" s="1290"/>
      <c r="D16" s="1285"/>
      <c r="E16" s="144"/>
    </row>
    <row r="17" spans="1:5" ht="35.1" customHeight="1">
      <c r="A17" s="951"/>
      <c r="B17" s="1023"/>
      <c r="C17" s="1289"/>
      <c r="D17" s="1285"/>
      <c r="E17" s="144"/>
    </row>
    <row r="18" spans="1:5" ht="35.1" customHeight="1">
      <c r="A18" s="951"/>
      <c r="B18" s="1023"/>
      <c r="C18" s="1290"/>
      <c r="D18" s="1285"/>
      <c r="E18" s="144"/>
    </row>
    <row r="19" spans="1:5" ht="35.1" customHeight="1">
      <c r="A19" s="951"/>
      <c r="B19" s="1023"/>
      <c r="C19" s="1290"/>
      <c r="D19" s="1285"/>
      <c r="E19" s="144"/>
    </row>
    <row r="20" spans="1:5" ht="35.1" customHeight="1">
      <c r="A20" s="951"/>
      <c r="B20" s="1023"/>
      <c r="C20" s="1290"/>
      <c r="D20" s="1285"/>
      <c r="E20" s="144"/>
    </row>
    <row r="21" spans="1:5" ht="35.1" customHeight="1">
      <c r="A21" s="951"/>
      <c r="B21" s="1023"/>
      <c r="C21" s="1290"/>
      <c r="D21" s="1285"/>
      <c r="E21" s="144"/>
    </row>
    <row r="22" spans="1:5" ht="35.1" customHeight="1">
      <c r="A22" s="951"/>
      <c r="B22" s="1023"/>
      <c r="C22" s="1290"/>
      <c r="D22" s="1285"/>
      <c r="E22" s="144"/>
    </row>
    <row r="23" spans="1:5" ht="35.1" customHeight="1">
      <c r="A23" s="951"/>
      <c r="B23" s="1023"/>
      <c r="C23" s="1289"/>
      <c r="D23" s="1285"/>
      <c r="E23" s="144"/>
    </row>
    <row r="24" spans="1:5" ht="35.1" customHeight="1">
      <c r="A24" s="951"/>
      <c r="B24" s="1023"/>
      <c r="C24" s="1290"/>
      <c r="D24" s="1285"/>
      <c r="E24" s="144"/>
    </row>
    <row r="25" spans="1:5" ht="35.1" customHeight="1">
      <c r="A25" s="951"/>
      <c r="B25" s="1023"/>
      <c r="C25" s="1290"/>
      <c r="D25" s="1285"/>
      <c r="E25" s="144"/>
    </row>
    <row r="26" spans="1:5" ht="35.1" customHeight="1">
      <c r="A26" s="951"/>
      <c r="B26" s="1023"/>
      <c r="C26" s="1290"/>
      <c r="D26" s="1285"/>
      <c r="E26" s="144"/>
    </row>
    <row r="27" spans="1:5" ht="35.1" customHeight="1" thickBot="1">
      <c r="A27" s="951"/>
      <c r="B27" s="1037"/>
      <c r="C27" s="1289"/>
      <c r="D27" s="1285"/>
      <c r="E27" s="1738" t="s">
        <v>403</v>
      </c>
    </row>
    <row r="28" spans="1:5" ht="35.1" customHeight="1">
      <c r="A28" s="951"/>
      <c r="B28" s="1039" t="s">
        <v>2</v>
      </c>
      <c r="C28" s="1291">
        <f>SUM(C13:C27)</f>
        <v>25</v>
      </c>
      <c r="D28" s="1295"/>
      <c r="E28" s="1738"/>
    </row>
    <row r="29" spans="1:5" ht="35.1" customHeight="1">
      <c r="A29" s="951"/>
      <c r="B29" s="1015" t="s">
        <v>228</v>
      </c>
      <c r="C29" s="1292">
        <f>VLOOKUP(Background!$C$2,Inst_FPs,13,FALSE)</f>
        <v>25</v>
      </c>
      <c r="D29" s="1295"/>
      <c r="E29" s="1738"/>
    </row>
    <row r="30" spans="1:5" ht="35.1" customHeight="1" thickBot="1">
      <c r="A30" s="951"/>
      <c r="B30" s="1016" t="s">
        <v>401</v>
      </c>
      <c r="C30" s="1192">
        <f>IF(C29&gt;0,C28-C29,"")</f>
        <v>0</v>
      </c>
      <c r="D30" s="1295"/>
      <c r="E30" s="944">
        <f>IF(AND(C28&gt;0,C29&gt;0),MIN(C28,C29),0)</f>
        <v>25</v>
      </c>
    </row>
    <row r="31" spans="1:5" s="1577" customFormat="1" ht="30" customHeight="1">
      <c r="A31" s="1156"/>
      <c r="B31" s="1157" t="s">
        <v>412</v>
      </c>
      <c r="C31" s="779"/>
      <c r="D31" s="1285"/>
      <c r="E31" s="274"/>
    </row>
    <row r="32" spans="1:5" s="1577" customFormat="1" ht="20.100000000000001" customHeight="1">
      <c r="A32" s="1156"/>
      <c r="B32" s="1151" t="s">
        <v>413</v>
      </c>
      <c r="C32" s="779"/>
      <c r="D32" s="1285"/>
      <c r="E32" s="274"/>
    </row>
    <row r="33" spans="1:5" s="1577" customFormat="1" ht="20.100000000000001" customHeight="1">
      <c r="A33" s="995"/>
      <c r="B33" s="996"/>
      <c r="C33" s="996"/>
      <c r="D33" s="997"/>
      <c r="E33" s="274"/>
    </row>
    <row r="34" spans="1:5" ht="15.75" customHeight="1"/>
    <row r="35" spans="1:5" ht="15.75" customHeight="1"/>
    <row r="36" spans="1:5" ht="15.75" customHeight="1"/>
    <row r="37" spans="1:5" ht="15.75" customHeight="1">
      <c r="C37" s="1547"/>
    </row>
    <row r="38" spans="1:5" ht="15.75" customHeight="1"/>
    <row r="39" spans="1:5" ht="15.75" customHeight="1"/>
    <row r="40" spans="1:5" ht="15.75" customHeight="1"/>
    <row r="41" spans="1:5" ht="15.75" customHeight="1"/>
    <row r="42" spans="1:5" ht="15.75" customHeight="1"/>
    <row r="43" spans="1:5" ht="15.75" customHeight="1"/>
    <row r="44" spans="1:5" ht="15.75" customHeight="1"/>
    <row r="45" spans="1:5" ht="15.75" customHeight="1"/>
    <row r="46" spans="1:5" ht="15.75" customHeight="1"/>
    <row r="47" spans="1:5" ht="15.75" customHeight="1"/>
    <row r="48" spans="1: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sheetData>
  <sheetProtection password="E23E" sheet="1" objects="1" scenarios="1"/>
  <mergeCells count="1">
    <mergeCell ref="E27:E29"/>
  </mergeCells>
  <conditionalFormatting sqref="B2">
    <cfRule type="expression" dxfId="21" priority="16" stopIfTrue="1">
      <formula>#REF!=0</formula>
    </cfRule>
  </conditionalFormatting>
  <conditionalFormatting sqref="B8">
    <cfRule type="expression" dxfId="20" priority="10" stopIfTrue="1">
      <formula>#REF!=0</formula>
    </cfRule>
  </conditionalFormatting>
  <conditionalFormatting sqref="A1:C1">
    <cfRule type="expression" dxfId="19" priority="109" stopIfTrue="1">
      <formula>$C$4=0</formula>
    </cfRule>
  </conditionalFormatting>
  <conditionalFormatting sqref="B14:C27">
    <cfRule type="expression" dxfId="18" priority="110">
      <formula>$C$4=0</formula>
    </cfRule>
  </conditionalFormatting>
  <dataValidations count="1">
    <dataValidation allowBlank="1" sqref="F1:IL1048576 B33:B65501 C38:C65501 B9:B30 B4 C2:D2 C9:C36 D28:D65501 D5:D12 E30:E1048576 E27 E1:E25"/>
  </dataValidations>
  <pageMargins left="0.19685039370078741" right="0.19685039370078741" top="0.19685039370078741" bottom="0.19685039370078741" header="0" footer="0"/>
  <pageSetup paperSize="9" scale="5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zoomScale="80" zoomScaleNormal="80" workbookViewId="0"/>
  </sheetViews>
  <sheetFormatPr defaultRowHeight="15"/>
  <cols>
    <col min="1" max="1" width="2.7109375" style="1547" customWidth="1"/>
    <col min="2" max="2" width="110.7109375" style="1547" customWidth="1"/>
    <col min="3" max="3" width="18.7109375" style="1580" customWidth="1"/>
    <col min="4" max="4" width="10.7109375" style="1547" customWidth="1"/>
    <col min="5" max="5" width="12.7109375" style="1547" hidden="1" customWidth="1"/>
    <col min="6" max="16384" width="9.140625" style="1547"/>
  </cols>
  <sheetData>
    <row r="1" spans="1:5" ht="39.950000000000003" customHeight="1">
      <c r="A1" s="580"/>
      <c r="B1" s="630" t="str">
        <f>IF(C4=0,"Your Institution Does Not Complete This Table","")</f>
        <v/>
      </c>
      <c r="C1" s="61"/>
      <c r="D1" s="61"/>
      <c r="E1" s="62"/>
    </row>
    <row r="2" spans="1:5" s="1578" customFormat="1" ht="30" customHeight="1">
      <c r="A2" s="1153"/>
      <c r="B2" s="933" t="s">
        <v>348</v>
      </c>
      <c r="C2" s="934"/>
      <c r="D2" s="935"/>
      <c r="E2" s="936"/>
    </row>
    <row r="3" spans="1:5" ht="35.1" customHeight="1">
      <c r="A3" s="951"/>
      <c r="B3" s="1149" t="s">
        <v>0</v>
      </c>
      <c r="C3" s="576"/>
      <c r="D3" s="1020"/>
      <c r="E3" s="144"/>
    </row>
    <row r="4" spans="1:5" ht="30" customHeight="1">
      <c r="A4" s="951"/>
      <c r="B4" s="1022" t="str">
        <f>Background!$D$2</f>
        <v>Glasgow, University of</v>
      </c>
      <c r="C4" s="1021">
        <f>VLOOKUP(Background!$C$2,Inst_Tables,13,FALSE)</f>
        <v>1</v>
      </c>
      <c r="D4" s="1020"/>
      <c r="E4" s="144"/>
    </row>
    <row r="5" spans="1:5" s="1561" customFormat="1" ht="30" customHeight="1">
      <c r="A5" s="1044"/>
      <c r="B5" s="1115" t="s">
        <v>435</v>
      </c>
      <c r="C5" s="640"/>
      <c r="D5" s="939"/>
      <c r="E5" s="165"/>
    </row>
    <row r="6" spans="1:5" s="1561" customFormat="1" ht="30" customHeight="1">
      <c r="A6" s="1044"/>
      <c r="B6" s="73" t="s">
        <v>458</v>
      </c>
      <c r="C6" s="640"/>
      <c r="D6" s="939"/>
      <c r="E6" s="165"/>
    </row>
    <row r="7" spans="1:5" s="1561" customFormat="1" ht="24.95" customHeight="1">
      <c r="A7" s="1044"/>
      <c r="B7" s="73" t="s">
        <v>455</v>
      </c>
      <c r="C7" s="640"/>
      <c r="D7" s="939"/>
      <c r="E7" s="165"/>
    </row>
    <row r="8" spans="1:5" ht="15" customHeight="1" thickBot="1">
      <c r="A8" s="951"/>
      <c r="B8" s="1158"/>
      <c r="C8" s="1018"/>
      <c r="D8" s="967"/>
      <c r="E8" s="144"/>
    </row>
    <row r="9" spans="1:5" ht="99.95" customHeight="1">
      <c r="A9" s="951"/>
      <c r="B9" s="1010"/>
      <c r="C9" s="1301" t="s">
        <v>436</v>
      </c>
      <c r="D9" s="939"/>
      <c r="E9" s="144"/>
    </row>
    <row r="10" spans="1:5" ht="24.95" customHeight="1">
      <c r="A10" s="951"/>
      <c r="B10" s="1302" t="s">
        <v>237</v>
      </c>
      <c r="C10" s="1025" t="s">
        <v>32</v>
      </c>
      <c r="D10" s="956"/>
      <c r="E10" s="62"/>
    </row>
    <row r="11" spans="1:5" ht="24.95" customHeight="1">
      <c r="A11" s="951"/>
      <c r="B11" s="1012"/>
      <c r="C11" s="1025" t="s">
        <v>47</v>
      </c>
      <c r="D11" s="956"/>
      <c r="E11" s="62"/>
    </row>
    <row r="12" spans="1:5" ht="24.95" customHeight="1" thickBot="1">
      <c r="A12" s="951"/>
      <c r="B12" s="1013"/>
      <c r="C12" s="1026" t="s">
        <v>4</v>
      </c>
      <c r="D12" s="735"/>
      <c r="E12" s="62"/>
    </row>
    <row r="13" spans="1:5" ht="35.1" customHeight="1">
      <c r="A13" s="951"/>
      <c r="B13" s="1600" t="s">
        <v>469</v>
      </c>
      <c r="C13" s="1601">
        <v>5</v>
      </c>
      <c r="D13" s="735"/>
      <c r="E13" s="62"/>
    </row>
    <row r="14" spans="1:5" ht="35.1" customHeight="1">
      <c r="A14" s="951"/>
      <c r="B14" s="1600" t="s">
        <v>470</v>
      </c>
      <c r="C14" s="1601">
        <v>5</v>
      </c>
      <c r="D14" s="959"/>
      <c r="E14" s="62"/>
    </row>
    <row r="15" spans="1:5" ht="35.1" customHeight="1">
      <c r="A15" s="951"/>
      <c r="B15" s="1600" t="s">
        <v>471</v>
      </c>
      <c r="C15" s="1601">
        <v>2</v>
      </c>
      <c r="D15" s="959"/>
      <c r="E15" s="144"/>
    </row>
    <row r="16" spans="1:5" ht="35.1" customHeight="1">
      <c r="A16" s="951"/>
      <c r="B16" s="1600" t="s">
        <v>472</v>
      </c>
      <c r="C16" s="1601">
        <v>1</v>
      </c>
      <c r="D16" s="959"/>
      <c r="E16" s="144"/>
    </row>
    <row r="17" spans="1:5" ht="35.1" customHeight="1">
      <c r="A17" s="951"/>
      <c r="B17" s="1600" t="s">
        <v>473</v>
      </c>
      <c r="C17" s="1601">
        <v>2</v>
      </c>
      <c r="D17" s="959"/>
      <c r="E17" s="144"/>
    </row>
    <row r="18" spans="1:5" ht="35.1" customHeight="1">
      <c r="A18" s="951"/>
      <c r="B18" s="1602" t="s">
        <v>474</v>
      </c>
      <c r="C18" s="1601">
        <v>4</v>
      </c>
      <c r="D18" s="959"/>
      <c r="E18" s="144"/>
    </row>
    <row r="19" spans="1:5" ht="35.1" customHeight="1">
      <c r="A19" s="951"/>
      <c r="B19" s="1603" t="s">
        <v>475</v>
      </c>
      <c r="C19" s="100">
        <v>9</v>
      </c>
      <c r="D19" s="959"/>
      <c r="E19" s="144"/>
    </row>
    <row r="20" spans="1:5" ht="35.1" customHeight="1">
      <c r="A20" s="951"/>
      <c r="B20" s="1604" t="s">
        <v>476</v>
      </c>
      <c r="C20" s="1601">
        <v>4</v>
      </c>
      <c r="D20" s="959"/>
      <c r="E20" s="144"/>
    </row>
    <row r="21" spans="1:5" ht="35.1" customHeight="1">
      <c r="A21" s="951"/>
      <c r="B21" s="1604" t="s">
        <v>477</v>
      </c>
      <c r="C21" s="1601">
        <v>10</v>
      </c>
      <c r="D21" s="959"/>
      <c r="E21" s="144"/>
    </row>
    <row r="22" spans="1:5" ht="35.1" customHeight="1">
      <c r="A22" s="951"/>
      <c r="B22" s="1600" t="s">
        <v>478</v>
      </c>
      <c r="C22" s="1601">
        <v>5</v>
      </c>
      <c r="D22" s="959"/>
      <c r="E22" s="144"/>
    </row>
    <row r="23" spans="1:5" ht="35.1" customHeight="1">
      <c r="A23" s="951"/>
      <c r="B23" s="1605" t="s">
        <v>479</v>
      </c>
      <c r="C23" s="1601">
        <v>10</v>
      </c>
      <c r="D23" s="959"/>
      <c r="E23" s="144"/>
    </row>
    <row r="24" spans="1:5" ht="35.1" customHeight="1">
      <c r="A24" s="951"/>
      <c r="B24" s="1600" t="s">
        <v>480</v>
      </c>
      <c r="C24" s="1601">
        <v>3</v>
      </c>
      <c r="D24" s="959"/>
      <c r="E24" s="144"/>
    </row>
    <row r="25" spans="1:5" ht="35.1" customHeight="1">
      <c r="A25" s="951"/>
      <c r="B25" s="1600" t="s">
        <v>481</v>
      </c>
      <c r="C25" s="1601">
        <v>10</v>
      </c>
      <c r="D25" s="959"/>
      <c r="E25" s="144"/>
    </row>
    <row r="26" spans="1:5" ht="35.1" customHeight="1">
      <c r="A26" s="951"/>
      <c r="B26" s="1600" t="s">
        <v>482</v>
      </c>
      <c r="C26" s="1601">
        <v>9</v>
      </c>
      <c r="D26" s="959"/>
      <c r="E26" s="144"/>
    </row>
    <row r="27" spans="1:5" ht="35.1" customHeight="1">
      <c r="A27" s="951"/>
      <c r="B27" s="1600" t="s">
        <v>483</v>
      </c>
      <c r="C27" s="1601">
        <v>10</v>
      </c>
      <c r="D27" s="959"/>
      <c r="E27" s="62"/>
    </row>
    <row r="28" spans="1:5" ht="35.1" customHeight="1">
      <c r="A28" s="951"/>
      <c r="B28" s="1605" t="s">
        <v>484</v>
      </c>
      <c r="C28" s="1601">
        <v>4</v>
      </c>
      <c r="D28" s="735"/>
      <c r="E28" s="62"/>
    </row>
    <row r="29" spans="1:5" ht="35.1" customHeight="1">
      <c r="A29" s="951"/>
      <c r="B29" s="1605" t="s">
        <v>485</v>
      </c>
      <c r="C29" s="1601">
        <v>4</v>
      </c>
      <c r="D29" s="959"/>
      <c r="E29" s="62"/>
    </row>
    <row r="30" spans="1:5" ht="35.1" customHeight="1">
      <c r="A30" s="951"/>
      <c r="B30" s="1600" t="s">
        <v>486</v>
      </c>
      <c r="C30" s="1601">
        <v>12.5</v>
      </c>
      <c r="D30" s="959"/>
      <c r="E30" s="144"/>
    </row>
    <row r="31" spans="1:5" ht="35.1" customHeight="1">
      <c r="A31" s="951"/>
      <c r="B31" s="1600" t="s">
        <v>487</v>
      </c>
      <c r="C31" s="1601">
        <v>8.5</v>
      </c>
      <c r="D31" s="959"/>
      <c r="E31" s="144"/>
    </row>
    <row r="32" spans="1:5" ht="35.1" customHeight="1">
      <c r="A32" s="951"/>
      <c r="B32" s="1600" t="s">
        <v>488</v>
      </c>
      <c r="C32" s="1601">
        <v>3</v>
      </c>
      <c r="D32" s="959"/>
      <c r="E32" s="144"/>
    </row>
    <row r="33" spans="1:5" ht="35.1" customHeight="1">
      <c r="A33" s="951"/>
      <c r="B33" s="1600" t="s">
        <v>489</v>
      </c>
      <c r="C33" s="1601">
        <v>1.33</v>
      </c>
      <c r="D33" s="959"/>
      <c r="E33" s="144"/>
    </row>
    <row r="34" spans="1:5" ht="35.1" customHeight="1">
      <c r="A34" s="951"/>
      <c r="B34" s="1023"/>
      <c r="C34" s="1028"/>
      <c r="D34" s="959"/>
      <c r="E34" s="144"/>
    </row>
    <row r="35" spans="1:5" ht="35.1" customHeight="1">
      <c r="A35" s="951"/>
      <c r="B35" s="1023"/>
      <c r="C35" s="1028"/>
      <c r="D35" s="959"/>
      <c r="E35" s="144"/>
    </row>
    <row r="36" spans="1:5" ht="35.1" customHeight="1">
      <c r="A36" s="951"/>
      <c r="B36" s="1023"/>
      <c r="C36" s="1028"/>
      <c r="D36" s="959"/>
      <c r="E36" s="144"/>
    </row>
    <row r="37" spans="1:5" ht="35.1" customHeight="1">
      <c r="A37" s="951"/>
      <c r="B37" s="1023"/>
      <c r="C37" s="1028"/>
      <c r="D37" s="959"/>
      <c r="E37" s="144"/>
    </row>
    <row r="38" spans="1:5" ht="35.1" customHeight="1">
      <c r="A38" s="951"/>
      <c r="B38" s="1023"/>
      <c r="C38" s="1027"/>
      <c r="D38" s="959"/>
      <c r="E38" s="144"/>
    </row>
    <row r="39" spans="1:5" ht="35.1" customHeight="1">
      <c r="A39" s="951"/>
      <c r="B39" s="1023"/>
      <c r="C39" s="1028"/>
      <c r="D39" s="959"/>
      <c r="E39" s="144"/>
    </row>
    <row r="40" spans="1:5" ht="35.1" customHeight="1">
      <c r="A40" s="951"/>
      <c r="B40" s="1023"/>
      <c r="C40" s="1028"/>
      <c r="D40" s="959"/>
      <c r="E40" s="144"/>
    </row>
    <row r="41" spans="1:5" ht="35.1" customHeight="1">
      <c r="A41" s="951"/>
      <c r="B41" s="1023"/>
      <c r="C41" s="1028"/>
      <c r="D41" s="959"/>
      <c r="E41" s="144"/>
    </row>
    <row r="42" spans="1:5" ht="35.1" customHeight="1" thickBot="1">
      <c r="A42" s="951"/>
      <c r="B42" s="1037"/>
      <c r="C42" s="1027"/>
      <c r="D42" s="959"/>
      <c r="E42" s="1738" t="s">
        <v>403</v>
      </c>
    </row>
    <row r="43" spans="1:5" ht="35.1" customHeight="1">
      <c r="A43" s="951"/>
      <c r="B43" s="1038" t="s">
        <v>2</v>
      </c>
      <c r="C43" s="1041">
        <f>SUM(C13:C42)</f>
        <v>122.33</v>
      </c>
      <c r="D43" s="959"/>
      <c r="E43" s="1738"/>
    </row>
    <row r="44" spans="1:5" ht="35.1" customHeight="1">
      <c r="A44" s="951"/>
      <c r="B44" s="1015" t="s">
        <v>228</v>
      </c>
      <c r="C44" s="1029">
        <f>VLOOKUP(Background!$C$2,Inst_FPs,22,FALSE)</f>
        <v>124</v>
      </c>
      <c r="D44" s="959"/>
      <c r="E44" s="1738"/>
    </row>
    <row r="45" spans="1:5" ht="35.1" customHeight="1" thickBot="1">
      <c r="A45" s="951"/>
      <c r="B45" s="1030" t="s">
        <v>401</v>
      </c>
      <c r="C45" s="966">
        <f>IF(C44&gt;0,C43-C44,"")</f>
        <v>-1.6700000000000017</v>
      </c>
      <c r="D45" s="959"/>
      <c r="E45" s="944">
        <f>IF(AND(C43&gt;0,C44&gt;0),MIN(C43,C44),0)</f>
        <v>122.33</v>
      </c>
    </row>
    <row r="46" spans="1:5" ht="30" customHeight="1">
      <c r="A46" s="951"/>
      <c r="B46" s="1157" t="s">
        <v>412</v>
      </c>
      <c r="C46" s="968"/>
      <c r="D46" s="959"/>
      <c r="E46" s="144"/>
    </row>
    <row r="47" spans="1:5" ht="24.95" customHeight="1">
      <c r="A47" s="951"/>
      <c r="B47" s="1151" t="s">
        <v>462</v>
      </c>
      <c r="C47" s="968"/>
      <c r="D47" s="959"/>
      <c r="E47" s="144"/>
    </row>
    <row r="48" spans="1:5" ht="20.100000000000001" customHeight="1">
      <c r="A48" s="977"/>
      <c r="B48" s="974"/>
      <c r="C48" s="975"/>
      <c r="D48" s="976"/>
      <c r="E48" s="144"/>
    </row>
  </sheetData>
  <sheetProtection password="E23E" sheet="1" objects="1" scenarios="1"/>
  <mergeCells count="1">
    <mergeCell ref="E42:E44"/>
  </mergeCells>
  <conditionalFormatting sqref="B2">
    <cfRule type="expression" dxfId="17" priority="15" stopIfTrue="1">
      <formula>#REF!=0</formula>
    </cfRule>
  </conditionalFormatting>
  <conditionalFormatting sqref="A1:D1">
    <cfRule type="expression" dxfId="16" priority="17" stopIfTrue="1">
      <formula>$C$4=0</formula>
    </cfRule>
  </conditionalFormatting>
  <conditionalFormatting sqref="B8">
    <cfRule type="expression" dxfId="15" priority="8" stopIfTrue="1">
      <formula>#REF!=0</formula>
    </cfRule>
  </conditionalFormatting>
  <conditionalFormatting sqref="B34:C42">
    <cfRule type="expression" dxfId="14" priority="103">
      <formula>$C$4=0</formula>
    </cfRule>
  </conditionalFormatting>
  <conditionalFormatting sqref="C17:C18 B13:C16 B19:C33">
    <cfRule type="expression" dxfId="13" priority="1">
      <formula>$C$4=0</formula>
    </cfRule>
  </conditionalFormatting>
  <dataValidations count="1">
    <dataValidation allowBlank="1" sqref="B48 D32:D48 D5:D8 B49:D65422 C2 B4 F13:IM1048576 E13:E42 E45:E1048576 E1:IM12 C9:C48 B9:B45 D17:D27"/>
  </dataValidations>
  <pageMargins left="0.19685039370078741" right="0.19685039370078741" top="0.19685039370078741" bottom="0.19685039370078741" header="0" footer="0"/>
  <pageSetup paperSize="9" scale="7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6"/>
  <sheetViews>
    <sheetView zoomScale="80" zoomScaleNormal="80" workbookViewId="0"/>
  </sheetViews>
  <sheetFormatPr defaultRowHeight="15"/>
  <cols>
    <col min="1" max="1" width="2.7109375" style="1547" customWidth="1"/>
    <col min="2" max="2" width="39.42578125" style="1547" customWidth="1"/>
    <col min="3" max="3" width="18.7109375" style="1547" customWidth="1"/>
    <col min="4" max="6" width="18.7109375" style="1580" customWidth="1"/>
    <col min="7" max="7" width="25.7109375" style="1547" customWidth="1"/>
    <col min="8" max="8" width="16.7109375" style="1547" hidden="1" customWidth="1"/>
    <col min="9" max="16384" width="9.140625" style="1547"/>
  </cols>
  <sheetData>
    <row r="1" spans="1:8" ht="39.950000000000003" customHeight="1">
      <c r="A1" s="1099"/>
      <c r="B1" s="630" t="str">
        <f>IF(E4=0,"Your Institution Does Not Complete This Table","")</f>
        <v/>
      </c>
      <c r="C1" s="61"/>
      <c r="D1" s="61"/>
      <c r="E1" s="61"/>
      <c r="F1" s="61"/>
      <c r="G1" s="61"/>
      <c r="H1" s="62"/>
    </row>
    <row r="2" spans="1:8" s="1578" customFormat="1" ht="30" customHeight="1">
      <c r="A2" s="1153"/>
      <c r="B2" s="933" t="s">
        <v>341</v>
      </c>
      <c r="C2" s="933"/>
      <c r="D2" s="934"/>
      <c r="E2" s="934"/>
      <c r="F2" s="934"/>
      <c r="G2" s="935"/>
      <c r="H2" s="936"/>
    </row>
    <row r="3" spans="1:8" s="1578" customFormat="1" ht="15" customHeight="1">
      <c r="A3" s="1159"/>
      <c r="B3" s="1115"/>
      <c r="C3" s="937"/>
      <c r="D3" s="328"/>
      <c r="E3" s="328"/>
      <c r="F3" s="328"/>
      <c r="G3" s="938"/>
      <c r="H3" s="936"/>
    </row>
    <row r="4" spans="1:8" ht="35.1" customHeight="1">
      <c r="A4" s="1160"/>
      <c r="B4" s="1149" t="s">
        <v>0</v>
      </c>
      <c r="C4" s="1746" t="str">
        <f>Background!$D$2</f>
        <v>Glasgow, University of</v>
      </c>
      <c r="D4" s="1747"/>
      <c r="E4" s="221">
        <f>VLOOKUP(Background!$C$2,Inst_Tables,14,FALSE)</f>
        <v>1</v>
      </c>
      <c r="F4" s="580"/>
      <c r="G4" s="1049"/>
      <c r="H4" s="144"/>
    </row>
    <row r="5" spans="1:8" s="1561" customFormat="1" ht="35.1" customHeight="1">
      <c r="A5" s="1161"/>
      <c r="B5" s="1115" t="s">
        <v>434</v>
      </c>
      <c r="C5" s="640"/>
      <c r="D5" s="640"/>
      <c r="E5" s="640"/>
      <c r="F5" s="640"/>
      <c r="G5" s="939"/>
      <c r="H5" s="165"/>
    </row>
    <row r="6" spans="1:8" s="1561" customFormat="1" ht="30" customHeight="1">
      <c r="A6" s="1161"/>
      <c r="B6" s="73" t="s">
        <v>459</v>
      </c>
      <c r="C6" s="640"/>
      <c r="D6" s="640"/>
      <c r="E6" s="640"/>
      <c r="F6" s="640"/>
      <c r="G6" s="939"/>
      <c r="H6" s="165"/>
    </row>
    <row r="7" spans="1:8" s="1561" customFormat="1" ht="24.95" customHeight="1">
      <c r="A7" s="1161"/>
      <c r="B7" s="73" t="s">
        <v>455</v>
      </c>
      <c r="C7" s="640"/>
      <c r="D7" s="640"/>
      <c r="E7" s="640"/>
      <c r="F7" s="640"/>
      <c r="G7" s="939"/>
      <c r="H7" s="165"/>
    </row>
    <row r="8" spans="1:8" s="1561" customFormat="1" ht="30" customHeight="1">
      <c r="A8" s="1161"/>
      <c r="B8" s="1150" t="s">
        <v>344</v>
      </c>
      <c r="C8" s="640"/>
      <c r="D8" s="640"/>
      <c r="E8" s="640"/>
      <c r="F8" s="640"/>
      <c r="G8" s="939"/>
      <c r="H8" s="165"/>
    </row>
    <row r="9" spans="1:8" s="1561" customFormat="1" ht="15" customHeight="1" thickBot="1">
      <c r="A9" s="1161"/>
      <c r="B9" s="644"/>
      <c r="C9" s="640"/>
      <c r="D9" s="640"/>
      <c r="E9" s="940"/>
      <c r="F9" s="221"/>
      <c r="G9" s="939"/>
      <c r="H9" s="165"/>
    </row>
    <row r="10" spans="1:8" ht="65.099999999999994" customHeight="1">
      <c r="A10" s="1160"/>
      <c r="B10" s="1010"/>
      <c r="C10" s="677" t="s">
        <v>236</v>
      </c>
      <c r="D10" s="677" t="s">
        <v>414</v>
      </c>
      <c r="E10" s="646" t="s">
        <v>401</v>
      </c>
      <c r="F10" s="1017"/>
      <c r="G10" s="222"/>
      <c r="H10" s="1745" t="s">
        <v>262</v>
      </c>
    </row>
    <row r="11" spans="1:8" ht="24.95" customHeight="1">
      <c r="A11" s="1160"/>
      <c r="B11" s="1011" t="s">
        <v>235</v>
      </c>
      <c r="C11" s="649" t="s">
        <v>32</v>
      </c>
      <c r="D11" s="648" t="s">
        <v>32</v>
      </c>
      <c r="E11" s="650" t="s">
        <v>32</v>
      </c>
      <c r="F11" s="1001"/>
      <c r="G11" s="222"/>
      <c r="H11" s="1745"/>
    </row>
    <row r="12" spans="1:8" ht="24.95" customHeight="1">
      <c r="A12" s="1160"/>
      <c r="B12" s="1012"/>
      <c r="C12" s="649" t="s">
        <v>76</v>
      </c>
      <c r="D12" s="649" t="s">
        <v>47</v>
      </c>
      <c r="E12" s="650" t="s">
        <v>75</v>
      </c>
      <c r="F12" s="1001"/>
      <c r="G12" s="222"/>
      <c r="H12" s="1745"/>
    </row>
    <row r="13" spans="1:8" ht="24.95" customHeight="1" thickBot="1">
      <c r="A13" s="1160"/>
      <c r="B13" s="1013"/>
      <c r="C13" s="1007" t="s">
        <v>4</v>
      </c>
      <c r="D13" s="1007" t="s">
        <v>5</v>
      </c>
      <c r="E13" s="1008" t="s">
        <v>6</v>
      </c>
      <c r="F13" s="1306"/>
      <c r="G13" s="222"/>
      <c r="H13" s="144"/>
    </row>
    <row r="14" spans="1:8" ht="35.1" customHeight="1">
      <c r="A14" s="1160"/>
      <c r="B14" s="1033" t="s">
        <v>241</v>
      </c>
      <c r="C14" s="1036">
        <f>VLOOKUP(Background!$C$2,Inst_FPs,24,FALSE)</f>
        <v>0</v>
      </c>
      <c r="D14" s="945">
        <v>0</v>
      </c>
      <c r="E14" s="946" t="str">
        <f>IF(C14&gt;0,D14-C14,"")</f>
        <v/>
      </c>
      <c r="F14" s="950"/>
      <c r="G14" s="222"/>
      <c r="H14" s="944">
        <f>IF(AND(C14&gt;0,D14&gt;0),MIN(C14,D14),0)</f>
        <v>0</v>
      </c>
    </row>
    <row r="15" spans="1:8" ht="35.1" customHeight="1">
      <c r="A15" s="1160"/>
      <c r="B15" s="1034" t="s">
        <v>242</v>
      </c>
      <c r="C15" s="1031">
        <f>VLOOKUP(Background!$C$2,Inst_FPs,25,FALSE)</f>
        <v>0</v>
      </c>
      <c r="D15" s="942">
        <v>0</v>
      </c>
      <c r="E15" s="943" t="str">
        <f>IF(C15&gt;0,D15-C15,"")</f>
        <v/>
      </c>
      <c r="F15" s="950"/>
      <c r="G15" s="222"/>
      <c r="H15" s="944">
        <f>IF(AND(C15&gt;0,D15&gt;0),MIN(C15,D15),0)</f>
        <v>0</v>
      </c>
    </row>
    <row r="16" spans="1:8" ht="35.1" customHeight="1" thickBot="1">
      <c r="A16" s="1160"/>
      <c r="B16" s="1035" t="s">
        <v>243</v>
      </c>
      <c r="C16" s="1032">
        <f>VLOOKUP(Background!$C$2,Inst_FPs,26,FALSE)</f>
        <v>0</v>
      </c>
      <c r="D16" s="947">
        <v>0</v>
      </c>
      <c r="E16" s="948" t="str">
        <f>IF(C16&gt;0,D16-C16,"")</f>
        <v/>
      </c>
      <c r="F16" s="1307"/>
      <c r="G16" s="222"/>
      <c r="H16" s="944">
        <f>IF(AND(C16&gt;0,D16&gt;0),MIN(C16,D16),0)</f>
        <v>0</v>
      </c>
    </row>
    <row r="17" spans="1:8" ht="30" customHeight="1">
      <c r="A17" s="1160"/>
      <c r="B17" s="1157" t="s">
        <v>415</v>
      </c>
      <c r="C17" s="949"/>
      <c r="D17" s="949"/>
      <c r="E17" s="950"/>
      <c r="F17" s="950"/>
      <c r="G17" s="222"/>
      <c r="H17" s="944"/>
    </row>
    <row r="18" spans="1:8" ht="20.100000000000001" customHeight="1">
      <c r="A18" s="951"/>
      <c r="B18" s="1151" t="s">
        <v>416</v>
      </c>
      <c r="C18" s="949"/>
      <c r="D18" s="949"/>
      <c r="E18" s="950"/>
      <c r="F18" s="950"/>
      <c r="G18" s="1305"/>
      <c r="H18" s="944"/>
    </row>
    <row r="19" spans="1:8" ht="24.95" customHeight="1">
      <c r="A19" s="1160"/>
      <c r="B19" s="1151" t="s">
        <v>417</v>
      </c>
      <c r="C19" s="949"/>
      <c r="D19" s="949"/>
      <c r="E19" s="950"/>
      <c r="F19" s="950"/>
      <c r="G19" s="222"/>
      <c r="H19" s="944"/>
    </row>
    <row r="20" spans="1:8" ht="20.100000000000001" customHeight="1">
      <c r="A20" s="1160"/>
      <c r="B20" s="1151" t="s">
        <v>418</v>
      </c>
      <c r="C20" s="949"/>
      <c r="D20" s="949"/>
      <c r="E20" s="950"/>
      <c r="F20" s="950"/>
      <c r="G20" s="1305"/>
      <c r="H20" s="944"/>
    </row>
    <row r="21" spans="1:8" ht="30" customHeight="1">
      <c r="A21" s="1160"/>
      <c r="B21" s="1150" t="s">
        <v>342</v>
      </c>
      <c r="C21" s="952"/>
      <c r="D21" s="952"/>
      <c r="E21" s="952"/>
      <c r="F21" s="952"/>
      <c r="G21" s="953"/>
      <c r="H21" s="62"/>
    </row>
    <row r="22" spans="1:8" ht="15" customHeight="1" thickBot="1">
      <c r="A22" s="1160"/>
      <c r="B22" s="1162"/>
      <c r="C22" s="640"/>
      <c r="D22" s="640"/>
      <c r="E22" s="940"/>
      <c r="F22" s="221"/>
      <c r="G22" s="953"/>
      <c r="H22" s="62"/>
    </row>
    <row r="23" spans="1:8" ht="54.95" customHeight="1">
      <c r="A23" s="1160"/>
      <c r="B23" s="954"/>
      <c r="C23" s="955"/>
      <c r="D23" s="955"/>
      <c r="E23" s="1308"/>
      <c r="F23" s="1303" t="s">
        <v>332</v>
      </c>
      <c r="G23" s="939"/>
      <c r="H23" s="62"/>
    </row>
    <row r="24" spans="1:8" ht="24.95" customHeight="1">
      <c r="A24" s="1160"/>
      <c r="B24" s="1304" t="s">
        <v>237</v>
      </c>
      <c r="C24" s="952"/>
      <c r="D24" s="952"/>
      <c r="E24" s="1049"/>
      <c r="F24" s="650" t="s">
        <v>32</v>
      </c>
      <c r="G24" s="972"/>
      <c r="H24" s="62"/>
    </row>
    <row r="25" spans="1:8" ht="24.95" customHeight="1">
      <c r="A25" s="1160"/>
      <c r="B25" s="957"/>
      <c r="C25" s="952"/>
      <c r="D25" s="952"/>
      <c r="E25" s="1049"/>
      <c r="F25" s="650" t="s">
        <v>47</v>
      </c>
      <c r="G25" s="956"/>
      <c r="H25" s="62"/>
    </row>
    <row r="26" spans="1:8" ht="24.95" customHeight="1">
      <c r="A26" s="1160"/>
      <c r="B26" s="1309"/>
      <c r="C26" s="1310"/>
      <c r="D26" s="1310"/>
      <c r="E26" s="1049"/>
      <c r="F26" s="941" t="s">
        <v>4</v>
      </c>
      <c r="G26" s="735"/>
      <c r="H26" s="62"/>
    </row>
    <row r="27" spans="1:8" ht="35.1" customHeight="1">
      <c r="A27" s="1160"/>
      <c r="B27" s="1739" t="s">
        <v>467</v>
      </c>
      <c r="C27" s="1748"/>
      <c r="D27" s="1748"/>
      <c r="E27" s="1749"/>
      <c r="F27" s="1599">
        <v>38.799999999999997</v>
      </c>
      <c r="G27" s="735"/>
      <c r="H27" s="62"/>
    </row>
    <row r="28" spans="1:8" ht="35.1" customHeight="1">
      <c r="A28" s="1160"/>
      <c r="B28" s="1739" t="s">
        <v>468</v>
      </c>
      <c r="C28" s="1748"/>
      <c r="D28" s="1748"/>
      <c r="E28" s="1749"/>
      <c r="F28" s="958">
        <v>31</v>
      </c>
      <c r="G28" s="959"/>
      <c r="H28" s="62"/>
    </row>
    <row r="29" spans="1:8" ht="35.1" customHeight="1">
      <c r="A29" s="1160"/>
      <c r="B29" s="1739"/>
      <c r="C29" s="1750"/>
      <c r="D29" s="1750"/>
      <c r="E29" s="1751"/>
      <c r="F29" s="958"/>
      <c r="G29" s="959"/>
      <c r="H29" s="62"/>
    </row>
    <row r="30" spans="1:8" ht="35.1" customHeight="1">
      <c r="A30" s="1160"/>
      <c r="B30" s="1739"/>
      <c r="C30" s="1750"/>
      <c r="D30" s="1750"/>
      <c r="E30" s="1751"/>
      <c r="F30" s="958"/>
      <c r="G30" s="959"/>
      <c r="H30" s="62"/>
    </row>
    <row r="31" spans="1:8" ht="35.1" customHeight="1">
      <c r="A31" s="1160"/>
      <c r="B31" s="1739"/>
      <c r="C31" s="1750"/>
      <c r="D31" s="1750"/>
      <c r="E31" s="1751"/>
      <c r="F31" s="960"/>
      <c r="G31" s="959"/>
      <c r="H31" s="62"/>
    </row>
    <row r="32" spans="1:8" ht="35.1" customHeight="1">
      <c r="A32" s="1160"/>
      <c r="B32" s="1739"/>
      <c r="C32" s="1750"/>
      <c r="D32" s="1750"/>
      <c r="E32" s="1751"/>
      <c r="F32" s="958"/>
      <c r="G32" s="959"/>
      <c r="H32" s="62"/>
    </row>
    <row r="33" spans="1:8" ht="35.1" customHeight="1">
      <c r="A33" s="1160"/>
      <c r="B33" s="1739"/>
      <c r="C33" s="1750"/>
      <c r="D33" s="1750"/>
      <c r="E33" s="1751"/>
      <c r="F33" s="958"/>
      <c r="G33" s="959"/>
      <c r="H33" s="62"/>
    </row>
    <row r="34" spans="1:8" ht="35.1" customHeight="1">
      <c r="A34" s="1160"/>
      <c r="B34" s="1739"/>
      <c r="C34" s="1750"/>
      <c r="D34" s="1750"/>
      <c r="E34" s="1751"/>
      <c r="F34" s="958"/>
      <c r="G34" s="959"/>
      <c r="H34" s="62"/>
    </row>
    <row r="35" spans="1:8" ht="35.1" customHeight="1">
      <c r="A35" s="1160"/>
      <c r="B35" s="1739"/>
      <c r="C35" s="1750"/>
      <c r="D35" s="1750"/>
      <c r="E35" s="1751"/>
      <c r="F35" s="958"/>
      <c r="G35" s="959"/>
      <c r="H35" s="62"/>
    </row>
    <row r="36" spans="1:8" ht="35.1" customHeight="1">
      <c r="A36" s="1160"/>
      <c r="B36" s="1739"/>
      <c r="C36" s="1740"/>
      <c r="D36" s="1740"/>
      <c r="E36" s="1741"/>
      <c r="F36" s="958"/>
      <c r="G36" s="959"/>
      <c r="H36" s="62"/>
    </row>
    <row r="37" spans="1:8" ht="35.1" customHeight="1">
      <c r="A37" s="1160"/>
      <c r="B37" s="1739"/>
      <c r="C37" s="1740"/>
      <c r="D37" s="1740"/>
      <c r="E37" s="1741"/>
      <c r="F37" s="960"/>
      <c r="G37" s="959"/>
      <c r="H37" s="62"/>
    </row>
    <row r="38" spans="1:8" ht="35.1" customHeight="1">
      <c r="A38" s="1160"/>
      <c r="B38" s="1739"/>
      <c r="C38" s="1740"/>
      <c r="D38" s="1740"/>
      <c r="E38" s="1741"/>
      <c r="F38" s="958"/>
      <c r="G38" s="959"/>
      <c r="H38" s="62"/>
    </row>
    <row r="39" spans="1:8" ht="35.1" customHeight="1">
      <c r="A39" s="1160"/>
      <c r="B39" s="1739"/>
      <c r="C39" s="1740"/>
      <c r="D39" s="1740"/>
      <c r="E39" s="1741"/>
      <c r="F39" s="958"/>
      <c r="G39" s="959"/>
      <c r="H39" s="62"/>
    </row>
    <row r="40" spans="1:8" ht="35.1" customHeight="1">
      <c r="A40" s="1160"/>
      <c r="B40" s="1739"/>
      <c r="C40" s="1740"/>
      <c r="D40" s="1740"/>
      <c r="E40" s="1741"/>
      <c r="F40" s="958"/>
      <c r="G40" s="959"/>
      <c r="H40" s="144"/>
    </row>
    <row r="41" spans="1:8" ht="35.1" customHeight="1" thickBot="1">
      <c r="A41" s="1160"/>
      <c r="B41" s="1742"/>
      <c r="C41" s="1743"/>
      <c r="D41" s="1743"/>
      <c r="E41" s="1744"/>
      <c r="F41" s="960"/>
      <c r="G41" s="959"/>
      <c r="H41" s="1738" t="s">
        <v>403</v>
      </c>
    </row>
    <row r="42" spans="1:8" ht="35.1" customHeight="1">
      <c r="A42" s="1160"/>
      <c r="B42" s="1311" t="s">
        <v>2</v>
      </c>
      <c r="C42" s="58"/>
      <c r="D42" s="58"/>
      <c r="E42" s="1312"/>
      <c r="F42" s="1041">
        <f>SUM(F27:F41)</f>
        <v>69.8</v>
      </c>
      <c r="G42" s="959"/>
      <c r="H42" s="1738"/>
    </row>
    <row r="43" spans="1:8" ht="35.1" customHeight="1">
      <c r="A43" s="1160"/>
      <c r="B43" s="961" t="s">
        <v>228</v>
      </c>
      <c r="C43" s="962"/>
      <c r="D43" s="1003"/>
      <c r="E43" s="1005"/>
      <c r="F43" s="1029">
        <f>VLOOKUP(Background!$C$2,Inst_FPs,23,FALSE)</f>
        <v>69.8</v>
      </c>
      <c r="G43" s="959"/>
      <c r="H43" s="1738"/>
    </row>
    <row r="44" spans="1:8" ht="35.1" customHeight="1" thickBot="1">
      <c r="A44" s="1160"/>
      <c r="B44" s="964" t="s">
        <v>401</v>
      </c>
      <c r="C44" s="965"/>
      <c r="D44" s="1002"/>
      <c r="E44" s="1313"/>
      <c r="F44" s="966">
        <f>IF(F43&gt;0,F42-F43,"")</f>
        <v>0</v>
      </c>
      <c r="G44" s="959"/>
      <c r="H44" s="944">
        <f>IF(AND(F42&gt;0,F43&gt;0),MIN(F42,F43),0)</f>
        <v>69.8</v>
      </c>
    </row>
    <row r="45" spans="1:8" ht="30" customHeight="1">
      <c r="A45" s="1160"/>
      <c r="B45" s="1157" t="s">
        <v>460</v>
      </c>
      <c r="C45" s="576"/>
      <c r="D45" s="968"/>
      <c r="E45" s="968"/>
      <c r="F45" s="968"/>
      <c r="G45" s="959"/>
      <c r="H45" s="973"/>
    </row>
    <row r="46" spans="1:8" ht="15" customHeight="1">
      <c r="A46" s="977"/>
      <c r="B46" s="1152"/>
      <c r="C46" s="974"/>
      <c r="D46" s="975"/>
      <c r="E46" s="975"/>
      <c r="F46" s="975"/>
      <c r="G46" s="976"/>
      <c r="H46" s="62"/>
    </row>
    <row r="47" spans="1:8" s="1579" customFormat="1" ht="15.75" customHeight="1"/>
    <row r="48" spans="1: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sheetData>
  <sheetProtection password="E23E" sheet="1" objects="1" scenarios="1"/>
  <mergeCells count="18">
    <mergeCell ref="H10:H12"/>
    <mergeCell ref="C4:D4"/>
    <mergeCell ref="H41:H43"/>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s>
  <conditionalFormatting sqref="D14:D16">
    <cfRule type="expression" dxfId="12" priority="14" stopIfTrue="1">
      <formula>C14&gt;0</formula>
    </cfRule>
  </conditionalFormatting>
  <conditionalFormatting sqref="B2">
    <cfRule type="expression" dxfId="11" priority="13" stopIfTrue="1">
      <formula>#REF!=0</formula>
    </cfRule>
  </conditionalFormatting>
  <conditionalFormatting sqref="D42">
    <cfRule type="expression" dxfId="10" priority="12" stopIfTrue="1">
      <formula>C42&gt;0</formula>
    </cfRule>
  </conditionalFormatting>
  <conditionalFormatting sqref="B22">
    <cfRule type="expression" dxfId="9" priority="4" stopIfTrue="1">
      <formula>#REF!=0</formula>
    </cfRule>
  </conditionalFormatting>
  <conditionalFormatting sqref="B29:B41 F29:F41">
    <cfRule type="expression" dxfId="8" priority="111">
      <formula>$F$43=0</formula>
    </cfRule>
  </conditionalFormatting>
  <conditionalFormatting sqref="A1:G1">
    <cfRule type="expression" dxfId="7" priority="112" stopIfTrue="1">
      <formula>$E$4=0</formula>
    </cfRule>
  </conditionalFormatting>
  <dataValidations count="2">
    <dataValidation allowBlank="1" sqref="D2:F3 C2:C4 C10:F13 C42 B23:B44 C23:D26 H2:H10 C21:F21 C14:C20 G5:G22 E14:F20 B47:B65513 B10:B16 H13:H39 G31:G65513 H46:H65513 C43:D65513 I1:IR1048576 H44 H41 F23:F44 E45:F65513"/>
    <dataValidation type="custom" allowBlank="1" showErrorMessage="1" errorTitle="No HFU funded places" error="You cannot enter HFU funded student FTE where no HFU funded places exist " sqref="D42 D14:D20">
      <formula1>AND($C14&gt;0,$D14&gt;=0)</formula1>
    </dataValidation>
  </dataValidations>
  <printOptions horizontalCentered="1"/>
  <pageMargins left="0.19685039370078741" right="0.19685039370078741" top="0.19685039370078741" bottom="0.19685039370078741" header="0" footer="0"/>
  <pageSetup paperSize="9" scale="58" fitToHeight="2" orientation="portrait" r:id="rId1"/>
  <headerFooter alignWithMargins="0"/>
  <rowBreaks count="1" manualBreakCount="1">
    <brk id="20" min="1"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zoomScale="80" zoomScaleNormal="80" workbookViewId="0"/>
  </sheetViews>
  <sheetFormatPr defaultColWidth="10.7109375" defaultRowHeight="18.95" customHeight="1"/>
  <cols>
    <col min="1" max="1" width="2.7109375" style="1547" customWidth="1"/>
    <col min="2" max="2" width="50.7109375" style="1547" customWidth="1"/>
    <col min="3" max="7" width="12.7109375" style="1580" customWidth="1"/>
    <col min="8" max="9" width="12.7109375" style="1547" customWidth="1"/>
    <col min="10" max="10" width="6.7109375" style="1547" customWidth="1"/>
    <col min="11" max="16384" width="10.7109375" style="1547"/>
  </cols>
  <sheetData>
    <row r="1" spans="1:10" ht="30" customHeight="1">
      <c r="A1" s="1099"/>
      <c r="B1" s="933" t="s">
        <v>276</v>
      </c>
      <c r="C1" s="1317"/>
      <c r="D1" s="1317"/>
      <c r="E1" s="1317"/>
      <c r="F1" s="1317"/>
      <c r="G1" s="1317"/>
      <c r="H1" s="1318"/>
      <c r="I1" s="1318"/>
      <c r="J1" s="1319"/>
    </row>
    <row r="2" spans="1:10" ht="9.9499999999999993" customHeight="1" thickBot="1">
      <c r="A2" s="1160"/>
      <c r="B2" s="937"/>
      <c r="C2" s="1320"/>
      <c r="D2" s="1320"/>
      <c r="E2" s="1320"/>
      <c r="F2" s="1320"/>
      <c r="G2" s="1320"/>
      <c r="H2" s="581"/>
      <c r="I2" s="581"/>
      <c r="J2" s="1305"/>
    </row>
    <row r="3" spans="1:10" ht="35.1" customHeight="1" thickBot="1">
      <c r="A3" s="1160"/>
      <c r="B3" s="1149" t="s">
        <v>0</v>
      </c>
      <c r="C3" s="1752" t="str">
        <f>Background!D2</f>
        <v>Glasgow, University of</v>
      </c>
      <c r="D3" s="1753"/>
      <c r="E3" s="1754"/>
      <c r="F3" s="715"/>
      <c r="G3" s="1320"/>
      <c r="H3" s="581"/>
      <c r="I3" s="581"/>
      <c r="J3" s="1305"/>
    </row>
    <row r="4" spans="1:10" ht="35.1" customHeight="1">
      <c r="A4" s="1160"/>
      <c r="B4" s="642" t="s">
        <v>277</v>
      </c>
      <c r="C4" s="640"/>
      <c r="D4" s="640"/>
      <c r="E4" s="640"/>
      <c r="F4" s="640"/>
      <c r="G4" s="640"/>
      <c r="H4" s="641"/>
      <c r="I4" s="641"/>
      <c r="J4" s="1321"/>
    </row>
    <row r="5" spans="1:10" s="1581" customFormat="1" ht="30" customHeight="1">
      <c r="A5" s="1322"/>
      <c r="B5" s="73" t="s">
        <v>461</v>
      </c>
      <c r="C5" s="640"/>
      <c r="D5" s="640"/>
      <c r="E5" s="640"/>
      <c r="F5" s="640"/>
      <c r="G5" s="640"/>
      <c r="H5" s="641"/>
      <c r="I5" s="641"/>
      <c r="J5" s="1321"/>
    </row>
    <row r="6" spans="1:10" s="1561" customFormat="1" ht="30" customHeight="1">
      <c r="A6" s="1161"/>
      <c r="B6" s="642" t="s">
        <v>425</v>
      </c>
      <c r="C6" s="643"/>
      <c r="D6" s="643"/>
      <c r="E6" s="643"/>
      <c r="F6" s="643"/>
      <c r="G6" s="643"/>
      <c r="H6" s="643"/>
      <c r="I6" s="643"/>
      <c r="J6" s="1321"/>
    </row>
    <row r="7" spans="1:10" s="1561" customFormat="1" ht="30" customHeight="1">
      <c r="A7" s="1161"/>
      <c r="B7" s="642" t="s">
        <v>424</v>
      </c>
      <c r="C7" s="643"/>
      <c r="D7" s="643"/>
      <c r="E7" s="643"/>
      <c r="F7" s="643"/>
      <c r="G7" s="643"/>
      <c r="H7" s="643"/>
      <c r="I7" s="643"/>
      <c r="J7" s="1321"/>
    </row>
    <row r="8" spans="1:10" s="1561" customFormat="1" ht="15" customHeight="1" thickBot="1">
      <c r="A8" s="1161"/>
      <c r="B8" s="644"/>
      <c r="C8" s="644"/>
      <c r="D8" s="644"/>
      <c r="E8" s="644"/>
      <c r="F8" s="644"/>
      <c r="G8" s="644"/>
      <c r="H8" s="644"/>
      <c r="I8" s="644"/>
      <c r="J8" s="1321"/>
    </row>
    <row r="9" spans="1:10" ht="120" customHeight="1">
      <c r="A9" s="1160"/>
      <c r="B9" s="1757" t="s">
        <v>166</v>
      </c>
      <c r="C9" s="645" t="s">
        <v>229</v>
      </c>
      <c r="D9" s="645" t="s">
        <v>120</v>
      </c>
      <c r="E9" s="645" t="s">
        <v>86</v>
      </c>
      <c r="F9" s="645" t="s">
        <v>278</v>
      </c>
      <c r="G9" s="1755" t="s">
        <v>121</v>
      </c>
      <c r="H9" s="1759"/>
      <c r="I9" s="646" t="s">
        <v>165</v>
      </c>
      <c r="J9" s="1321"/>
    </row>
    <row r="10" spans="1:10" ht="30" customHeight="1">
      <c r="A10" s="1160"/>
      <c r="B10" s="1758"/>
      <c r="C10" s="647" t="s">
        <v>32</v>
      </c>
      <c r="D10" s="647" t="s">
        <v>32</v>
      </c>
      <c r="E10" s="647" t="s">
        <v>32</v>
      </c>
      <c r="F10" s="647" t="s">
        <v>32</v>
      </c>
      <c r="G10" s="647" t="s">
        <v>32</v>
      </c>
      <c r="H10" s="326" t="s">
        <v>122</v>
      </c>
      <c r="I10" s="317"/>
      <c r="J10" s="1321"/>
    </row>
    <row r="11" spans="1:10" ht="30" customHeight="1">
      <c r="A11" s="1160"/>
      <c r="B11" s="1758"/>
      <c r="C11" s="648" t="s">
        <v>76</v>
      </c>
      <c r="D11" s="1261" t="s">
        <v>76</v>
      </c>
      <c r="E11" s="1261" t="s">
        <v>76</v>
      </c>
      <c r="F11" s="1261" t="s">
        <v>76</v>
      </c>
      <c r="G11" s="1261" t="s">
        <v>75</v>
      </c>
      <c r="H11" s="1261" t="s">
        <v>75</v>
      </c>
      <c r="I11" s="650" t="s">
        <v>75</v>
      </c>
      <c r="J11" s="1321"/>
    </row>
    <row r="12" spans="1:10" ht="30" customHeight="1">
      <c r="A12" s="1160"/>
      <c r="B12" s="651"/>
      <c r="C12" s="652" t="s">
        <v>4</v>
      </c>
      <c r="D12" s="652" t="s">
        <v>5</v>
      </c>
      <c r="E12" s="652" t="s">
        <v>6</v>
      </c>
      <c r="F12" s="652" t="s">
        <v>7</v>
      </c>
      <c r="G12" s="652" t="s">
        <v>8</v>
      </c>
      <c r="H12" s="652" t="s">
        <v>9</v>
      </c>
      <c r="I12" s="653" t="s">
        <v>59</v>
      </c>
      <c r="J12" s="1321"/>
    </row>
    <row r="13" spans="1:10" ht="35.1" customHeight="1">
      <c r="A13" s="1160"/>
      <c r="B13" s="654" t="s">
        <v>114</v>
      </c>
      <c r="C13" s="655"/>
      <c r="D13" s="1323"/>
      <c r="E13" s="656"/>
      <c r="F13" s="656"/>
      <c r="G13" s="655"/>
      <c r="H13" s="656"/>
      <c r="I13" s="657"/>
      <c r="J13" s="1321"/>
    </row>
    <row r="14" spans="1:10" ht="24.95" customHeight="1">
      <c r="A14" s="1160"/>
      <c r="B14" s="658" t="s">
        <v>49</v>
      </c>
      <c r="C14" s="708">
        <f>VLOOKUP(Background!$C$2,Inst_FPs,29,FALSE)</f>
        <v>595.70000000000005</v>
      </c>
      <c r="D14" s="709">
        <f>VLOOKUP(Background!$C$2,Inst_FPs,41,FALSE)</f>
        <v>81</v>
      </c>
      <c r="E14" s="708">
        <f>SUM(C14:D14)</f>
        <v>676.7</v>
      </c>
      <c r="F14" s="708">
        <f>'Table 1 (Main)'!$O29</f>
        <v>660</v>
      </c>
      <c r="G14" s="710">
        <f>F14-E14</f>
        <v>-16.700000000000045</v>
      </c>
      <c r="H14" s="659">
        <f>IF(E14&gt;0,G14/E14,"")</f>
        <v>-2.4678587261711311E-2</v>
      </c>
      <c r="I14" s="660" t="str">
        <f>IF(H14&lt;-Controlled_Tol,"YES","NO")</f>
        <v>NO</v>
      </c>
      <c r="J14" s="1321"/>
    </row>
    <row r="15" spans="1:10" ht="24.95" customHeight="1">
      <c r="A15" s="1160"/>
      <c r="B15" s="658" t="s">
        <v>50</v>
      </c>
      <c r="C15" s="708">
        <f>VLOOKUP(Background!$C$2,Inst_FPs,30,FALSE)</f>
        <v>283.2</v>
      </c>
      <c r="D15" s="709">
        <f>VLOOKUP(Background!$C$2,Inst_FPs,42,FALSE)</f>
        <v>17.300000000000011</v>
      </c>
      <c r="E15" s="708">
        <f>SUM(C15:D15)</f>
        <v>300.5</v>
      </c>
      <c r="F15" s="708">
        <f>'Table 1 (Main)'!$O30</f>
        <v>304</v>
      </c>
      <c r="G15" s="710">
        <f>F15-E15</f>
        <v>3.5</v>
      </c>
      <c r="H15" s="659">
        <f>IF(E15&gt;0,G15/E15,"")</f>
        <v>1.1647254575707155E-2</v>
      </c>
      <c r="I15" s="660" t="str">
        <f>IF(H15&lt;-Controlled_Tol,"YES","NO")</f>
        <v>NO</v>
      </c>
      <c r="J15" s="1321"/>
    </row>
    <row r="16" spans="1:10" ht="24.95" customHeight="1">
      <c r="A16" s="1160"/>
      <c r="B16" s="658" t="s">
        <v>19</v>
      </c>
      <c r="C16" s="708">
        <f>VLOOKUP(Background!$C$2,Inst_FPs,31,FALSE)</f>
        <v>293.2</v>
      </c>
      <c r="D16" s="709">
        <v>0</v>
      </c>
      <c r="E16" s="708">
        <f>SUM(C16:D16)</f>
        <v>293.2</v>
      </c>
      <c r="F16" s="708">
        <f>'Table 1 (Main)'!$O31</f>
        <v>317</v>
      </c>
      <c r="G16" s="710">
        <f>F16-E16</f>
        <v>23.800000000000011</v>
      </c>
      <c r="H16" s="659">
        <f>IF(E16&gt;0,G16/E16,"")</f>
        <v>8.1173260572987765E-2</v>
      </c>
      <c r="I16" s="660" t="str">
        <f>IF(H16&lt;-Controlled_Tol,"YES","NO")</f>
        <v>NO</v>
      </c>
      <c r="J16" s="1321"/>
    </row>
    <row r="17" spans="1:10" ht="24.95" customHeight="1">
      <c r="A17" s="1160"/>
      <c r="B17" s="661" t="s">
        <v>20</v>
      </c>
      <c r="C17" s="708">
        <f>VLOOKUP(Background!$C$2,Inst_FPs,32,FALSE)</f>
        <v>53.1</v>
      </c>
      <c r="D17" s="709">
        <v>0</v>
      </c>
      <c r="E17" s="711">
        <f>SUM(C17:D17)</f>
        <v>53.1</v>
      </c>
      <c r="F17" s="708">
        <f>'Table 1 (Main)'!$O32</f>
        <v>53</v>
      </c>
      <c r="G17" s="712">
        <f>F17-E17</f>
        <v>-0.10000000000000142</v>
      </c>
      <c r="H17" s="659">
        <f>IF(E17&gt;0,G17/E17,"")</f>
        <v>-1.8832391713747914E-3</v>
      </c>
      <c r="I17" s="660" t="str">
        <f>IF(H17&lt;-Controlled_Tol,"YES","NO")</f>
        <v>NO</v>
      </c>
      <c r="J17" s="1321"/>
    </row>
    <row r="18" spans="1:10" ht="35.1" customHeight="1">
      <c r="A18" s="1160"/>
      <c r="B18" s="662" t="s">
        <v>21</v>
      </c>
      <c r="C18" s="663"/>
      <c r="D18" s="664"/>
      <c r="E18" s="665"/>
      <c r="F18" s="665"/>
      <c r="G18" s="666"/>
      <c r="H18" s="667"/>
      <c r="I18" s="657"/>
      <c r="J18" s="1321"/>
    </row>
    <row r="19" spans="1:10" ht="24.95" customHeight="1">
      <c r="A19" s="1160"/>
      <c r="B19" s="658" t="s">
        <v>118</v>
      </c>
      <c r="C19" s="708">
        <f>VLOOKUP(Background!$C$2,Inst_FPs,33,FALSE)</f>
        <v>481.3</v>
      </c>
      <c r="D19" s="709">
        <f>VLOOKUP(Background!$C$2,Inst_FPs,43,FALSE)</f>
        <v>0</v>
      </c>
      <c r="E19" s="708">
        <f t="shared" ref="E19:E24" si="0">SUM(C19:D19)</f>
        <v>481.3</v>
      </c>
      <c r="F19" s="708">
        <f>'Table 1 (Main)'!$O34</f>
        <v>569.6</v>
      </c>
      <c r="G19" s="710">
        <f t="shared" ref="G19:G24" si="1">F19-E19</f>
        <v>88.300000000000011</v>
      </c>
      <c r="H19" s="659">
        <f t="shared" ref="H19:H24" si="2">IF(E19&gt;0,G19/E19,"")</f>
        <v>0.18346145854976109</v>
      </c>
      <c r="I19" s="660" t="str">
        <f t="shared" ref="I19:I24" si="3">IF(H19&lt;-Controlled_Tol,"YES","NO")</f>
        <v>NO</v>
      </c>
      <c r="J19" s="1321"/>
    </row>
    <row r="20" spans="1:10" ht="24.95" customHeight="1">
      <c r="A20" s="1160"/>
      <c r="B20" s="658" t="s">
        <v>35</v>
      </c>
      <c r="C20" s="708">
        <f>VLOOKUP(Background!$C$2,Inst_FPs,34,FALSE)</f>
        <v>0</v>
      </c>
      <c r="D20" s="709">
        <v>0</v>
      </c>
      <c r="E20" s="708">
        <f t="shared" si="0"/>
        <v>0</v>
      </c>
      <c r="F20" s="708">
        <f>'Table 1 (Main)'!$O35</f>
        <v>0</v>
      </c>
      <c r="G20" s="710">
        <f t="shared" si="1"/>
        <v>0</v>
      </c>
      <c r="H20" s="659" t="str">
        <f t="shared" si="2"/>
        <v/>
      </c>
      <c r="I20" s="660" t="str">
        <f t="shared" si="3"/>
        <v>NO</v>
      </c>
      <c r="J20" s="1321"/>
    </row>
    <row r="21" spans="1:10" ht="24.95" customHeight="1">
      <c r="A21" s="1160"/>
      <c r="B21" s="658" t="s">
        <v>22</v>
      </c>
      <c r="C21" s="708">
        <f>VLOOKUP(Background!$C$2,Inst_FPs,35,FALSE)</f>
        <v>0</v>
      </c>
      <c r="D21" s="709">
        <v>0</v>
      </c>
      <c r="E21" s="708">
        <f t="shared" si="0"/>
        <v>0</v>
      </c>
      <c r="F21" s="708">
        <f>'Table 1 (Main)'!$O36</f>
        <v>0</v>
      </c>
      <c r="G21" s="710">
        <f t="shared" si="1"/>
        <v>0</v>
      </c>
      <c r="H21" s="659" t="str">
        <f t="shared" si="2"/>
        <v/>
      </c>
      <c r="I21" s="660" t="str">
        <f t="shared" si="3"/>
        <v>NO</v>
      </c>
      <c r="J21" s="1321"/>
    </row>
    <row r="22" spans="1:10" ht="24.95" customHeight="1">
      <c r="A22" s="1160"/>
      <c r="B22" s="658" t="s">
        <v>37</v>
      </c>
      <c r="C22" s="708">
        <f>VLOOKUP(Background!$C$2,Inst_FPs,36,FALSE)</f>
        <v>98.6</v>
      </c>
      <c r="D22" s="709">
        <v>0</v>
      </c>
      <c r="E22" s="708">
        <f t="shared" si="0"/>
        <v>98.6</v>
      </c>
      <c r="F22" s="708">
        <f>'Table 1 (Main)'!$O37</f>
        <v>96.6</v>
      </c>
      <c r="G22" s="710">
        <f t="shared" si="1"/>
        <v>-2</v>
      </c>
      <c r="H22" s="659">
        <f t="shared" si="2"/>
        <v>-2.0283975659229209E-2</v>
      </c>
      <c r="I22" s="660" t="str">
        <f t="shared" si="3"/>
        <v>NO</v>
      </c>
      <c r="J22" s="1321"/>
    </row>
    <row r="23" spans="1:10" ht="24.95" customHeight="1">
      <c r="A23" s="1160"/>
      <c r="B23" s="658" t="s">
        <v>136</v>
      </c>
      <c r="C23" s="708">
        <f>VLOOKUP(Background!$C$2,Inst_FPs,37,FALSE)</f>
        <v>67.400000000000006</v>
      </c>
      <c r="D23" s="709">
        <f>VLOOKUP(Background!$C$2,Inst_FPs,44,FALSE)</f>
        <v>104</v>
      </c>
      <c r="E23" s="708">
        <f t="shared" si="0"/>
        <v>171.4</v>
      </c>
      <c r="F23" s="708">
        <f>'Table 1 (Main)'!$O22</f>
        <v>164.5</v>
      </c>
      <c r="G23" s="710">
        <f t="shared" si="1"/>
        <v>-6.9000000000000057</v>
      </c>
      <c r="H23" s="659">
        <f t="shared" si="2"/>
        <v>-4.0256709451575293E-2</v>
      </c>
      <c r="I23" s="660" t="str">
        <f t="shared" si="3"/>
        <v>YES</v>
      </c>
      <c r="J23" s="1321"/>
    </row>
    <row r="24" spans="1:10" ht="24.95" customHeight="1">
      <c r="A24" s="1160"/>
      <c r="B24" s="661" t="s">
        <v>137</v>
      </c>
      <c r="C24" s="708">
        <f>VLOOKUP(Background!$C$2,Inst_FPs,38,FALSE)</f>
        <v>117.4</v>
      </c>
      <c r="D24" s="709">
        <f>VLOOKUP(Background!$C$2,Inst_FPs,45,FALSE)</f>
        <v>41</v>
      </c>
      <c r="E24" s="711">
        <f t="shared" si="0"/>
        <v>158.4</v>
      </c>
      <c r="F24" s="708">
        <f>'Table 1 (Main)'!$O23</f>
        <v>157</v>
      </c>
      <c r="G24" s="712">
        <f t="shared" si="1"/>
        <v>-1.4000000000000057</v>
      </c>
      <c r="H24" s="659">
        <f t="shared" si="2"/>
        <v>-8.8383838383838745E-3</v>
      </c>
      <c r="I24" s="660" t="str">
        <f t="shared" si="3"/>
        <v>NO</v>
      </c>
      <c r="J24" s="1321"/>
    </row>
    <row r="25" spans="1:10" ht="35.1" customHeight="1">
      <c r="A25" s="1160"/>
      <c r="B25" s="662" t="s">
        <v>109</v>
      </c>
      <c r="C25" s="665"/>
      <c r="D25" s="1324"/>
      <c r="E25" s="665"/>
      <c r="F25" s="665"/>
      <c r="G25" s="707"/>
      <c r="H25" s="667"/>
      <c r="I25" s="657"/>
      <c r="J25" s="1321"/>
    </row>
    <row r="26" spans="1:10" ht="24.95" customHeight="1">
      <c r="A26" s="1160"/>
      <c r="B26" s="658" t="s">
        <v>437</v>
      </c>
      <c r="C26" s="684">
        <v>0</v>
      </c>
      <c r="D26" s="684">
        <f>VLOOKUP(Background!$C$2,Inst_FPs,46,FALSE)</f>
        <v>0</v>
      </c>
      <c r="E26" s="684">
        <f>SUM(C26:D26)</f>
        <v>0</v>
      </c>
      <c r="F26" s="684">
        <f>'Table 1 (Main)'!$O16+'Table 1 (Main)'!$O39</f>
        <v>0</v>
      </c>
      <c r="G26" s="714">
        <f>F26-E26</f>
        <v>0</v>
      </c>
      <c r="H26" s="705" t="str">
        <f>IF(E26&gt;0,G26/E26,"")</f>
        <v/>
      </c>
      <c r="I26" s="706" t="str">
        <f>IF(H26&lt;-Controlled_Tol,"YES","NO")</f>
        <v>NO</v>
      </c>
      <c r="J26" s="1321"/>
    </row>
    <row r="27" spans="1:10" ht="24.95" customHeight="1" thickBot="1">
      <c r="A27" s="1160"/>
      <c r="B27" s="713" t="s">
        <v>438</v>
      </c>
      <c r="C27" s="716">
        <f>VLOOKUP(Background!$C$2,Inst_FPs,39,FALSE)</f>
        <v>35</v>
      </c>
      <c r="D27" s="716">
        <v>0</v>
      </c>
      <c r="E27" s="716">
        <f t="shared" ref="E27" si="4">SUM(C27:D27)</f>
        <v>35</v>
      </c>
      <c r="F27" s="717">
        <f>'Table 1 (Main)'!$O40</f>
        <v>41</v>
      </c>
      <c r="G27" s="718">
        <f>F27-E27</f>
        <v>6</v>
      </c>
      <c r="H27" s="668">
        <f>IF(E27&gt;0,G27/E27,"")</f>
        <v>0.17142857142857143</v>
      </c>
      <c r="I27" s="669" t="str">
        <f>IF(H27&lt;-Controlled_Tol,"YES","NO")</f>
        <v>NO</v>
      </c>
      <c r="J27" s="1325"/>
    </row>
    <row r="28" spans="1:10" ht="24" customHeight="1">
      <c r="A28" s="1160"/>
      <c r="B28" s="1331"/>
      <c r="C28" s="581"/>
      <c r="D28" s="670"/>
      <c r="E28" s="670"/>
      <c r="F28" s="670"/>
      <c r="G28" s="670"/>
      <c r="H28" s="581"/>
      <c r="I28" s="641"/>
      <c r="J28" s="1321"/>
    </row>
    <row r="29" spans="1:10" ht="24.95" customHeight="1">
      <c r="A29" s="1160"/>
      <c r="B29" s="642" t="s">
        <v>426</v>
      </c>
      <c r="C29" s="643"/>
      <c r="D29" s="643"/>
      <c r="E29" s="643"/>
      <c r="F29" s="643"/>
      <c r="G29" s="643"/>
      <c r="H29" s="643"/>
      <c r="I29" s="641"/>
      <c r="J29" s="1321"/>
    </row>
    <row r="30" spans="1:10" ht="24.95" customHeight="1">
      <c r="A30" s="1160"/>
      <c r="B30" s="642" t="s">
        <v>424</v>
      </c>
      <c r="C30" s="643"/>
      <c r="D30" s="643"/>
      <c r="E30" s="643"/>
      <c r="F30" s="643"/>
      <c r="G30" s="643"/>
      <c r="H30" s="643"/>
      <c r="I30" s="641"/>
      <c r="J30" s="1321"/>
    </row>
    <row r="31" spans="1:10" ht="9.9499999999999993" customHeight="1" thickBot="1">
      <c r="A31" s="1160"/>
      <c r="B31" s="644"/>
      <c r="C31" s="644"/>
      <c r="D31" s="644"/>
      <c r="E31" s="644"/>
      <c r="F31" s="644"/>
      <c r="G31" s="644"/>
      <c r="H31" s="643"/>
      <c r="I31" s="641"/>
      <c r="J31" s="1321"/>
    </row>
    <row r="32" spans="1:10" ht="45" customHeight="1">
      <c r="A32" s="1160"/>
      <c r="B32" s="1314"/>
      <c r="C32" s="1763" t="s">
        <v>420</v>
      </c>
      <c r="D32" s="1764"/>
      <c r="E32" s="1763" t="s">
        <v>421</v>
      </c>
      <c r="F32" s="1765"/>
      <c r="G32" s="1765"/>
      <c r="H32" s="1765"/>
      <c r="I32" s="1766"/>
      <c r="J32" s="1321"/>
    </row>
    <row r="33" spans="1:10" ht="120" customHeight="1">
      <c r="A33" s="1160"/>
      <c r="B33" s="1760" t="s">
        <v>167</v>
      </c>
      <c r="C33" s="969" t="s">
        <v>86</v>
      </c>
      <c r="D33" s="969" t="s">
        <v>419</v>
      </c>
      <c r="E33" s="1315" t="s">
        <v>422</v>
      </c>
      <c r="F33" s="1315" t="s">
        <v>423</v>
      </c>
      <c r="G33" s="1761" t="s">
        <v>121</v>
      </c>
      <c r="H33" s="1762"/>
      <c r="I33" s="970" t="s">
        <v>165</v>
      </c>
      <c r="J33" s="1321"/>
    </row>
    <row r="34" spans="1:10" ht="30" customHeight="1">
      <c r="A34" s="1160"/>
      <c r="B34" s="1758"/>
      <c r="C34" s="647" t="s">
        <v>32</v>
      </c>
      <c r="D34" s="647" t="s">
        <v>32</v>
      </c>
      <c r="E34" s="647" t="s">
        <v>32</v>
      </c>
      <c r="F34" s="647" t="s">
        <v>32</v>
      </c>
      <c r="G34" s="647" t="s">
        <v>32</v>
      </c>
      <c r="H34" s="326" t="s">
        <v>122</v>
      </c>
      <c r="I34" s="317"/>
      <c r="J34" s="1321"/>
    </row>
    <row r="35" spans="1:10" ht="30" customHeight="1">
      <c r="A35" s="1160"/>
      <c r="B35" s="672"/>
      <c r="C35" s="648" t="s">
        <v>76</v>
      </c>
      <c r="D35" s="1261" t="s">
        <v>76</v>
      </c>
      <c r="E35" s="1261" t="s">
        <v>75</v>
      </c>
      <c r="F35" s="1261" t="s">
        <v>75</v>
      </c>
      <c r="G35" s="1261" t="s">
        <v>75</v>
      </c>
      <c r="H35" s="1261" t="s">
        <v>75</v>
      </c>
      <c r="I35" s="650" t="s">
        <v>75</v>
      </c>
      <c r="J35" s="1321"/>
    </row>
    <row r="36" spans="1:10" ht="30" customHeight="1">
      <c r="A36" s="1160"/>
      <c r="B36" s="672"/>
      <c r="C36" s="652" t="s">
        <v>4</v>
      </c>
      <c r="D36" s="652" t="s">
        <v>5</v>
      </c>
      <c r="E36" s="652" t="s">
        <v>6</v>
      </c>
      <c r="F36" s="652" t="s">
        <v>7</v>
      </c>
      <c r="G36" s="652" t="s">
        <v>8</v>
      </c>
      <c r="H36" s="652" t="s">
        <v>9</v>
      </c>
      <c r="I36" s="653" t="s">
        <v>59</v>
      </c>
      <c r="J36" s="1321"/>
    </row>
    <row r="37" spans="1:10" ht="50.1" customHeight="1" thickBot="1">
      <c r="A37" s="1160"/>
      <c r="B37" s="673" t="s">
        <v>168</v>
      </c>
      <c r="C37" s="716">
        <f>VLOOKUP(Background!$C$2,Inst_FPs,28,FALSE)</f>
        <v>12354.8</v>
      </c>
      <c r="D37" s="716">
        <f>SUM('Table 1 (Main)'!$O$17,'Table 1 (Main)'!$O$24,'Table 1 (Main)'!$O$42,'Table 1 (Main)'!$O$43)</f>
        <v>13178.505333000005</v>
      </c>
      <c r="E37" s="1316">
        <f>C37-SUM('Table 5a (Widen Access FPs)'!D10,'Table 5b (Artic FPs)'!E25,'Table 5c (UG Skills FPs)'!C29,'Table 5d (TPG FPs)'!C44,'Table 5e (Other Add FPs)'!C14,'Table 5e (Other Add FPs)'!C15,'Table 5e (Other Add FPs)'!C16,'Table 5e (Other Add FPs)'!F43)</f>
        <v>11924</v>
      </c>
      <c r="F37" s="1316">
        <f>D37-SUM('Table 5a (Widen Access FPs)'!F12,'Table 5b (Artic FPs)'!G26,'Table 5c (UG Skills FPs)'!E30,'Table 5d (TPG FPs)'!E45,'Table 5e (Other Add FPs)'!H14,'Table 5e (Other Add FPs)'!H15,'Table 5e (Other Add FPs)'!H16,'Table 5e (Other Add FPs)'!H44)</f>
        <v>12811.375333000005</v>
      </c>
      <c r="G37" s="717">
        <f>F37-E37</f>
        <v>887.37533300000541</v>
      </c>
      <c r="H37" s="674">
        <f>IF(E37&gt;0,G37/E37,"")</f>
        <v>7.4419266437437556E-2</v>
      </c>
      <c r="I37" s="669" t="str">
        <f>IF(H37&lt;-Non_controlled_Tol,"YES","NO")</f>
        <v>NO</v>
      </c>
      <c r="J37" s="1321"/>
    </row>
    <row r="38" spans="1:10" ht="15">
      <c r="A38" s="1160"/>
      <c r="B38" s="670"/>
      <c r="C38" s="670"/>
      <c r="D38" s="670"/>
      <c r="E38" s="670"/>
      <c r="F38" s="670"/>
      <c r="G38" s="670"/>
      <c r="H38" s="670"/>
      <c r="I38" s="641"/>
      <c r="J38" s="1321"/>
    </row>
    <row r="39" spans="1:10" ht="24.95" customHeight="1">
      <c r="A39" s="1160"/>
      <c r="B39" s="642" t="s">
        <v>427</v>
      </c>
      <c r="C39" s="670"/>
      <c r="D39" s="670"/>
      <c r="E39" s="670"/>
      <c r="F39" s="670"/>
      <c r="G39" s="670"/>
      <c r="H39" s="670"/>
      <c r="I39" s="641"/>
      <c r="J39" s="1321"/>
    </row>
    <row r="40" spans="1:10" ht="24.95" customHeight="1">
      <c r="A40" s="1160"/>
      <c r="B40" s="642" t="s">
        <v>428</v>
      </c>
      <c r="C40" s="643"/>
      <c r="D40" s="643"/>
      <c r="E40" s="643"/>
      <c r="F40" s="213"/>
      <c r="G40" s="213"/>
      <c r="H40" s="213"/>
      <c r="I40" s="641"/>
      <c r="J40" s="1321"/>
    </row>
    <row r="41" spans="1:10" ht="24.95" customHeight="1">
      <c r="A41" s="1160"/>
      <c r="B41" s="642" t="s">
        <v>429</v>
      </c>
      <c r="C41" s="643"/>
      <c r="D41" s="643"/>
      <c r="E41" s="643"/>
      <c r="F41" s="213"/>
      <c r="G41" s="213"/>
      <c r="H41" s="213"/>
      <c r="I41" s="641"/>
      <c r="J41" s="1321"/>
    </row>
    <row r="42" spans="1:10" ht="9.9499999999999993" customHeight="1" thickBot="1">
      <c r="A42" s="1160"/>
      <c r="B42" s="644"/>
      <c r="C42" s="644"/>
      <c r="D42" s="644"/>
      <c r="E42" s="644"/>
      <c r="F42" s="675"/>
      <c r="G42" s="675"/>
      <c r="H42" s="213"/>
      <c r="I42" s="641"/>
      <c r="J42" s="1321"/>
    </row>
    <row r="43" spans="1:10" ht="99.95" customHeight="1">
      <c r="A43" s="1160"/>
      <c r="B43" s="676" t="s">
        <v>169</v>
      </c>
      <c r="C43" s="677" t="s">
        <v>279</v>
      </c>
      <c r="D43" s="645" t="s">
        <v>431</v>
      </c>
      <c r="E43" s="1755" t="s">
        <v>430</v>
      </c>
      <c r="F43" s="1756"/>
      <c r="G43" s="646" t="s">
        <v>171</v>
      </c>
      <c r="H43" s="671"/>
      <c r="I43" s="641"/>
      <c r="J43" s="1321"/>
    </row>
    <row r="44" spans="1:10" ht="30" customHeight="1">
      <c r="A44" s="1160"/>
      <c r="B44" s="678"/>
      <c r="C44" s="1326" t="s">
        <v>32</v>
      </c>
      <c r="D44" s="647" t="s">
        <v>32</v>
      </c>
      <c r="E44" s="647" t="s">
        <v>32</v>
      </c>
      <c r="F44" s="647" t="s">
        <v>122</v>
      </c>
      <c r="G44" s="317"/>
      <c r="H44" s="581"/>
      <c r="I44" s="641"/>
      <c r="J44" s="1321"/>
    </row>
    <row r="45" spans="1:10" ht="30" customHeight="1">
      <c r="A45" s="1160"/>
      <c r="B45" s="678"/>
      <c r="C45" s="1327" t="s">
        <v>76</v>
      </c>
      <c r="D45" s="648" t="s">
        <v>76</v>
      </c>
      <c r="E45" s="648" t="s">
        <v>75</v>
      </c>
      <c r="F45" s="648" t="s">
        <v>75</v>
      </c>
      <c r="G45" s="650" t="s">
        <v>75</v>
      </c>
      <c r="H45" s="581"/>
      <c r="I45" s="641"/>
      <c r="J45" s="1321"/>
    </row>
    <row r="46" spans="1:10" ht="30" customHeight="1">
      <c r="A46" s="1160"/>
      <c r="B46" s="679"/>
      <c r="C46" s="652" t="s">
        <v>4</v>
      </c>
      <c r="D46" s="652" t="s">
        <v>5</v>
      </c>
      <c r="E46" s="652" t="s">
        <v>6</v>
      </c>
      <c r="F46" s="652" t="s">
        <v>7</v>
      </c>
      <c r="G46" s="653" t="s">
        <v>8</v>
      </c>
      <c r="H46" s="581"/>
      <c r="I46" s="641"/>
      <c r="J46" s="1321"/>
    </row>
    <row r="47" spans="1:10" ht="35.1" customHeight="1">
      <c r="A47" s="1160"/>
      <c r="B47" s="680" t="s">
        <v>108</v>
      </c>
      <c r="C47" s="719"/>
      <c r="D47" s="681"/>
      <c r="E47" s="681"/>
      <c r="F47" s="682"/>
      <c r="G47" s="650"/>
      <c r="H47" s="581"/>
      <c r="I47" s="641"/>
      <c r="J47" s="1321"/>
    </row>
    <row r="48" spans="1:10" ht="35.1" customHeight="1">
      <c r="A48" s="1160"/>
      <c r="B48" s="683" t="s">
        <v>202</v>
      </c>
      <c r="C48" s="720"/>
      <c r="D48" s="721"/>
      <c r="E48" s="721"/>
      <c r="F48" s="722"/>
      <c r="G48" s="723"/>
      <c r="H48" s="581"/>
      <c r="I48" s="641"/>
      <c r="J48" s="1321"/>
    </row>
    <row r="49" spans="1:10" ht="30" customHeight="1">
      <c r="A49" s="1160"/>
      <c r="B49" s="685" t="s">
        <v>201</v>
      </c>
      <c r="C49" s="724">
        <f>VLOOKUP(Background!$C$2,Inst_FPs,48,FALSE)</f>
        <v>1151</v>
      </c>
      <c r="D49" s="724">
        <f>SUM('Table 1 (Main)'!$U$29,'Table 1 (Main)'!$U$31)</f>
        <v>1155</v>
      </c>
      <c r="E49" s="724">
        <f>D49-C49</f>
        <v>4</v>
      </c>
      <c r="F49" s="686">
        <f>IF(C49&gt;0,E49/C49,"")</f>
        <v>3.4752389226759338E-3</v>
      </c>
      <c r="G49" s="687" t="str">
        <f>IF(C49&gt;=100,IF(F49&gt;Consol_Tol_Per,"Yes","No"),IF(C49&gt;0,IF(E49&gt;Consol_Tol_FTE,"Yes","No"),"No"))</f>
        <v>No</v>
      </c>
      <c r="H49" s="581"/>
      <c r="I49" s="641"/>
      <c r="J49" s="1321"/>
    </row>
    <row r="50" spans="1:10" ht="35.1" customHeight="1">
      <c r="A50" s="1160"/>
      <c r="B50" s="683" t="s">
        <v>274</v>
      </c>
      <c r="C50" s="688"/>
      <c r="D50" s="689"/>
      <c r="E50" s="689"/>
      <c r="F50" s="689"/>
      <c r="G50" s="690"/>
      <c r="H50" s="581"/>
      <c r="I50" s="641"/>
      <c r="J50" s="1321"/>
    </row>
    <row r="51" spans="1:10" ht="30" customHeight="1">
      <c r="A51" s="1160"/>
      <c r="B51" s="685" t="s">
        <v>201</v>
      </c>
      <c r="C51" s="724">
        <f>VLOOKUP(Background!$C$2,Inst_FPs,49,FALSE)</f>
        <v>389</v>
      </c>
      <c r="D51" s="724">
        <f>SUM('Table 1 (Main)'!$U$30,'Table 1 (Main)'!$U$32)</f>
        <v>396</v>
      </c>
      <c r="E51" s="724">
        <f>D51-C51</f>
        <v>7</v>
      </c>
      <c r="F51" s="686">
        <f>IF(C51&gt;0,E51/C51,"")</f>
        <v>1.7994858611825194E-2</v>
      </c>
      <c r="G51" s="687" t="str">
        <f>IF(C51&gt;=100,IF(F51&gt;Consol_Tol_Per,"Yes","No"),IF(C51&gt;0,IF(E51&gt;Consol_Tol_FTE,"Yes","No"),"No"))</f>
        <v>No</v>
      </c>
      <c r="H51" s="581"/>
      <c r="I51" s="641"/>
      <c r="J51" s="1321"/>
    </row>
    <row r="52" spans="1:10" ht="50.1" customHeight="1">
      <c r="A52" s="1160"/>
      <c r="B52" s="691" t="s">
        <v>212</v>
      </c>
      <c r="C52" s="581"/>
      <c r="D52" s="692"/>
      <c r="E52" s="692"/>
      <c r="F52" s="692"/>
      <c r="G52" s="693"/>
      <c r="H52" s="581"/>
      <c r="I52" s="643"/>
      <c r="J52" s="1321"/>
    </row>
    <row r="53" spans="1:10" ht="30" customHeight="1">
      <c r="A53" s="1160"/>
      <c r="B53" s="685" t="s">
        <v>33</v>
      </c>
      <c r="C53" s="711">
        <f>VLOOKUP(Background!$C$2,Inst_FPs,50,FALSE)</f>
        <v>659</v>
      </c>
      <c r="D53" s="724">
        <f>SUM('Table 1 (Main)'!$U$22,'Table 1 (Main)'!$U$34)</f>
        <v>744.1</v>
      </c>
      <c r="E53" s="724">
        <f>D53-C53</f>
        <v>85.100000000000023</v>
      </c>
      <c r="F53" s="686">
        <f>IF(C53&gt;0,E53/C53,"")</f>
        <v>0.12913505311077395</v>
      </c>
      <c r="G53" s="687" t="str">
        <f>IF(C53&gt;=100,IF(F53&gt;Consol_Tol_Per,"Yes","No"),IF(C53&gt;0,IF(E53&gt;Consol_Tol_FTE,"Yes","No"),"No"))</f>
        <v>Yes</v>
      </c>
      <c r="H53" s="581"/>
      <c r="I53" s="643"/>
      <c r="J53" s="1321"/>
    </row>
    <row r="54" spans="1:10" ht="30" customHeight="1">
      <c r="A54" s="1160"/>
      <c r="B54" s="685" t="s">
        <v>34</v>
      </c>
      <c r="C54" s="711">
        <f>VLOOKUP(Background!$C$2,Inst_FPs,51,FALSE)</f>
        <v>267</v>
      </c>
      <c r="D54" s="724">
        <f>SUM('Table 1 (Main)'!$U$23,'Table 1 (Main)'!$U$35,'Table 1 (Main)'!$U$36,'Table 1 (Main)'!$U$37)</f>
        <v>260.60000000000002</v>
      </c>
      <c r="E54" s="724">
        <f>D54-C54</f>
        <v>-6.3999999999999773</v>
      </c>
      <c r="F54" s="686">
        <f>IF(C54&gt;0,E54/C54,"")</f>
        <v>-2.3970037453183435E-2</v>
      </c>
      <c r="G54" s="687" t="str">
        <f>IF(C54&gt;=100,IF(F54&gt;Consol_Tol_Per,"Yes","No"),IF(C54&gt;0,IF(E54&gt;Consol_Tol_FTE,"Yes","No"),"No"))</f>
        <v>No</v>
      </c>
      <c r="H54" s="581"/>
      <c r="I54" s="643"/>
      <c r="J54" s="1321"/>
    </row>
    <row r="55" spans="1:10" ht="35.1" customHeight="1">
      <c r="A55" s="1160"/>
      <c r="B55" s="691" t="s">
        <v>203</v>
      </c>
      <c r="C55" s="694"/>
      <c r="D55" s="695"/>
      <c r="E55" s="695"/>
      <c r="F55" s="695"/>
      <c r="G55" s="696"/>
      <c r="H55" s="581"/>
      <c r="I55" s="643"/>
      <c r="J55" s="1321"/>
    </row>
    <row r="56" spans="1:10" ht="30" customHeight="1">
      <c r="A56" s="1160"/>
      <c r="B56" s="697" t="s">
        <v>201</v>
      </c>
      <c r="C56" s="711">
        <f>VLOOKUP(Background!$C$2,Inst_FPs,52,FALSE)</f>
        <v>35</v>
      </c>
      <c r="D56" s="684">
        <f>'Table 1 (Main)'!$U$16+'Table 1 (Main)'!$U$39+'Table 1 (Main)'!$U$40</f>
        <v>41</v>
      </c>
      <c r="E56" s="724">
        <f>D56-C56</f>
        <v>6</v>
      </c>
      <c r="F56" s="686">
        <f>IF(C56&gt;0,E56/C56,"")</f>
        <v>0.17142857142857143</v>
      </c>
      <c r="G56" s="687" t="str">
        <f>IF(C56&gt;=100,IF(F56&gt;Consol_Tol_Per,"Yes","No"),IF(C56&gt;0,IF(E56&gt;Consol_Tol_FTE,"Yes","No"),"No"))</f>
        <v>No</v>
      </c>
      <c r="H56" s="581"/>
      <c r="I56" s="643"/>
      <c r="J56" s="1321"/>
    </row>
    <row r="57" spans="1:10" ht="35.1" customHeight="1">
      <c r="A57" s="1160"/>
      <c r="B57" s="698" t="s">
        <v>170</v>
      </c>
      <c r="C57" s="692"/>
      <c r="D57" s="692"/>
      <c r="E57" s="692"/>
      <c r="F57" s="692"/>
      <c r="G57" s="693"/>
      <c r="H57" s="581"/>
      <c r="I57" s="643"/>
      <c r="J57" s="1321"/>
    </row>
    <row r="58" spans="1:10" ht="30" customHeight="1" thickBot="1">
      <c r="A58" s="1160"/>
      <c r="B58" s="699" t="s">
        <v>204</v>
      </c>
      <c r="C58" s="717">
        <f>VLOOKUP(Background!$C$2,Inst_FPs,53,FALSE)</f>
        <v>10839</v>
      </c>
      <c r="D58" s="717">
        <f>SUM('Table 1 (Main)'!$H$42,'Table 1 (Main)'!$H$43)</f>
        <v>10985.134000000002</v>
      </c>
      <c r="E58" s="717">
        <f>D58-C58</f>
        <v>146.13400000000183</v>
      </c>
      <c r="F58" s="674">
        <f>IF(C58&gt;0,E58/C58,"")</f>
        <v>1.3482240059046207E-2</v>
      </c>
      <c r="G58" s="700" t="str">
        <f>IF(C58&gt;=100,IF(F58&gt;Consol_Tol_Per,"Yes","No"),IF(C58&gt;0,IF(E58&gt;Consol_Tol_FTE,"Yes","No"),"No"))</f>
        <v>No</v>
      </c>
      <c r="H58" s="581"/>
      <c r="I58" s="643"/>
      <c r="J58" s="1321"/>
    </row>
    <row r="59" spans="1:10" ht="18.95" customHeight="1">
      <c r="A59" s="977"/>
      <c r="B59" s="1328"/>
      <c r="C59" s="1329"/>
      <c r="D59" s="1329"/>
      <c r="E59" s="1329"/>
      <c r="F59" s="1329"/>
      <c r="G59" s="1329"/>
      <c r="H59" s="1329"/>
      <c r="I59" s="1329"/>
      <c r="J59" s="1330"/>
    </row>
    <row r="60" spans="1:10" ht="24.95" hidden="1" customHeight="1">
      <c r="A60" s="144"/>
      <c r="B60" s="701" t="s">
        <v>162</v>
      </c>
      <c r="C60" s="702"/>
      <c r="D60" s="702"/>
      <c r="E60" s="702"/>
      <c r="F60" s="702"/>
      <c r="G60" s="702"/>
      <c r="H60" s="144"/>
      <c r="I60" s="144"/>
      <c r="J60" s="144"/>
    </row>
    <row r="61" spans="1:10" ht="24.95" hidden="1" customHeight="1">
      <c r="A61" s="144"/>
      <c r="B61" s="144" t="s">
        <v>163</v>
      </c>
      <c r="C61" s="703">
        <v>0.03</v>
      </c>
      <c r="D61" s="702"/>
      <c r="E61" s="702"/>
      <c r="F61" s="702"/>
      <c r="G61" s="702"/>
      <c r="H61" s="144"/>
      <c r="I61" s="144"/>
      <c r="J61" s="144"/>
    </row>
    <row r="62" spans="1:10" ht="24.95" hidden="1" customHeight="1">
      <c r="A62" s="144"/>
      <c r="B62" s="144" t="s">
        <v>164</v>
      </c>
      <c r="C62" s="703">
        <v>0.02</v>
      </c>
      <c r="D62" s="702"/>
      <c r="E62" s="702"/>
      <c r="F62" s="702"/>
      <c r="G62" s="702"/>
      <c r="H62" s="144"/>
      <c r="I62" s="144"/>
      <c r="J62" s="144"/>
    </row>
    <row r="63" spans="1:10" ht="24.95" hidden="1" customHeight="1">
      <c r="A63" s="144"/>
      <c r="B63" s="144" t="s">
        <v>205</v>
      </c>
      <c r="C63" s="703">
        <v>0.1</v>
      </c>
      <c r="D63" s="702"/>
      <c r="E63" s="702"/>
      <c r="F63" s="702"/>
      <c r="G63" s="702"/>
      <c r="H63" s="144"/>
      <c r="I63" s="144"/>
      <c r="J63" s="144"/>
    </row>
    <row r="64" spans="1:10" ht="24.95" hidden="1" customHeight="1">
      <c r="A64" s="144"/>
      <c r="B64" s="144" t="s">
        <v>206</v>
      </c>
      <c r="C64" s="704">
        <v>10</v>
      </c>
      <c r="D64" s="702"/>
      <c r="E64" s="702"/>
      <c r="F64" s="702"/>
      <c r="G64" s="702"/>
      <c r="H64" s="144"/>
      <c r="I64" s="144"/>
      <c r="J64" s="144"/>
    </row>
  </sheetData>
  <sheetProtection password="E23E" sheet="1" objects="1" scenarios="1"/>
  <mergeCells count="8">
    <mergeCell ref="C3:E3"/>
    <mergeCell ref="E43:F43"/>
    <mergeCell ref="B9:B11"/>
    <mergeCell ref="G9:H9"/>
    <mergeCell ref="B33:B34"/>
    <mergeCell ref="G33:H33"/>
    <mergeCell ref="C32:D32"/>
    <mergeCell ref="E32:I32"/>
  </mergeCells>
  <conditionalFormatting sqref="G47:G49">
    <cfRule type="cellIs" dxfId="6" priority="15" operator="equal">
      <formula>"YES"</formula>
    </cfRule>
  </conditionalFormatting>
  <conditionalFormatting sqref="G47:G49 I14:I17 I19:I24 I26">
    <cfRule type="cellIs" dxfId="5" priority="13" operator="equal">
      <formula>"YES"</formula>
    </cfRule>
  </conditionalFormatting>
  <conditionalFormatting sqref="I37">
    <cfRule type="cellIs" dxfId="4" priority="11" operator="equal">
      <formula>"YES"</formula>
    </cfRule>
  </conditionalFormatting>
  <conditionalFormatting sqref="G58 G56 G53:G54 G51">
    <cfRule type="cellIs" dxfId="3" priority="8" operator="equal">
      <formula>"YES"</formula>
    </cfRule>
  </conditionalFormatting>
  <conditionalFormatting sqref="G58 G56 G53:G54 G51">
    <cfRule type="cellIs" dxfId="2" priority="7" operator="equal">
      <formula>"YES"</formula>
    </cfRule>
  </conditionalFormatting>
  <conditionalFormatting sqref="B1:B2">
    <cfRule type="expression" dxfId="1" priority="2" stopIfTrue="1">
      <formula>#REF!=0</formula>
    </cfRule>
  </conditionalFormatting>
  <conditionalFormatting sqref="I27">
    <cfRule type="cellIs" dxfId="0" priority="1" operator="equal">
      <formula>"YES"</formula>
    </cfRule>
  </conditionalFormatting>
  <dataValidations count="1">
    <dataValidation allowBlank="1" sqref="G45:G46 C43:E45 B43 I9 B9 I33 C9:G28 H4:I5 C34:C36 B37:C37 G43 D46:F46 E56:G56 F44:F45 B47:B48 C46:C47 B49:C49 C51 C53:C56 C58:G58 D53:G54 D47:G51 J4:J8 C3 K28:FL28 K4:FL5 K6:FI8 J9:FJ27 B13:B28 H10:H28 I11:I31 G34:H37 D34:D37 B33:G33 E34:F36 I35:I51 C38:H39 B38 B50:B59 J28:J59"/>
  </dataValidations>
  <printOptions horizontalCentered="1"/>
  <pageMargins left="0.15748031496062992" right="0.15748031496062992" top="0.15748031496062992" bottom="0.15748031496062992" header="0.15748031496062992" footer="0.15748031496062992"/>
  <pageSetup paperSize="9" scale="65" fitToHeight="2" orientation="portrait" r:id="rId1"/>
  <headerFooter alignWithMargins="0"/>
  <rowBreaks count="1" manualBreakCount="1">
    <brk id="37" min="1"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A143"/>
  <sheetViews>
    <sheetView zoomScale="80" zoomScaleNormal="80" workbookViewId="0">
      <selection activeCell="C2" sqref="C2"/>
    </sheetView>
  </sheetViews>
  <sheetFormatPr defaultRowHeight="15"/>
  <cols>
    <col min="1" max="1" width="7.7109375" style="1380" customWidth="1"/>
    <col min="2" max="2" width="45.7109375" style="1380" customWidth="1"/>
    <col min="3" max="53" width="12.7109375" style="1380" customWidth="1"/>
    <col min="54" max="16384" width="9.140625" style="1380"/>
  </cols>
  <sheetData>
    <row r="2" spans="1:53" ht="30" customHeight="1">
      <c r="A2" s="1379" t="s">
        <v>149</v>
      </c>
      <c r="C2" s="1582">
        <v>8</v>
      </c>
      <c r="D2" s="1381" t="str">
        <f>VLOOKUP(C2,Inst_Tables,2,FALSE)</f>
        <v>Glasgow, University of</v>
      </c>
    </row>
    <row r="3" spans="1:53" ht="18" customHeight="1"/>
    <row r="4" spans="1:53" ht="20.100000000000001" customHeight="1">
      <c r="A4" s="1382" t="s">
        <v>174</v>
      </c>
    </row>
    <row r="6" spans="1:53">
      <c r="A6" s="1383" t="s">
        <v>153</v>
      </c>
    </row>
    <row r="7" spans="1:53" ht="20.100000000000001" customHeight="1">
      <c r="A7" s="1384">
        <v>1</v>
      </c>
      <c r="B7" s="1384">
        <v>2</v>
      </c>
      <c r="C7" s="1384">
        <v>3</v>
      </c>
      <c r="D7" s="1384">
        <v>4</v>
      </c>
      <c r="E7" s="1384">
        <v>5</v>
      </c>
      <c r="F7" s="1384">
        <v>6</v>
      </c>
      <c r="G7" s="1384">
        <v>7</v>
      </c>
      <c r="H7" s="1384">
        <v>8</v>
      </c>
      <c r="I7" s="1384">
        <v>9</v>
      </c>
      <c r="J7" s="1384">
        <v>10</v>
      </c>
      <c r="K7" s="1384">
        <v>11</v>
      </c>
      <c r="L7" s="1384">
        <v>12</v>
      </c>
      <c r="M7" s="1384">
        <v>13</v>
      </c>
      <c r="N7" s="1384">
        <v>14</v>
      </c>
      <c r="O7" s="1384">
        <v>15</v>
      </c>
      <c r="P7" s="1384">
        <v>16</v>
      </c>
      <c r="Q7" s="1384">
        <v>17</v>
      </c>
      <c r="R7" s="1384">
        <v>18</v>
      </c>
      <c r="S7" s="1384">
        <v>19</v>
      </c>
      <c r="T7" s="1384">
        <v>20</v>
      </c>
      <c r="U7" s="1384">
        <v>21</v>
      </c>
      <c r="V7" s="1384">
        <v>22</v>
      </c>
      <c r="W7" s="1384">
        <v>23</v>
      </c>
      <c r="X7" s="1384">
        <v>24</v>
      </c>
      <c r="Y7" s="1384">
        <v>25</v>
      </c>
      <c r="Z7" s="1384">
        <v>26</v>
      </c>
      <c r="AA7" s="1384">
        <v>27</v>
      </c>
      <c r="AB7" s="1384">
        <v>28</v>
      </c>
      <c r="AC7" s="1384">
        <v>29</v>
      </c>
      <c r="AD7" s="1384">
        <v>30</v>
      </c>
      <c r="AE7" s="1384">
        <v>31</v>
      </c>
      <c r="AF7" s="1384">
        <v>32</v>
      </c>
      <c r="AG7" s="1384">
        <v>33</v>
      </c>
      <c r="AH7" s="1384">
        <v>34</v>
      </c>
      <c r="AI7" s="1384">
        <v>35</v>
      </c>
      <c r="AJ7" s="1384">
        <v>36</v>
      </c>
      <c r="AK7" s="1384">
        <v>37</v>
      </c>
      <c r="AL7" s="1384">
        <v>38</v>
      </c>
      <c r="AM7" s="1384">
        <v>39</v>
      </c>
      <c r="AN7" s="1384">
        <v>40</v>
      </c>
      <c r="AO7" s="1384">
        <v>41</v>
      </c>
      <c r="AP7" s="1384">
        <v>42</v>
      </c>
      <c r="AQ7" s="1384">
        <v>43</v>
      </c>
      <c r="AR7" s="1384">
        <v>44</v>
      </c>
      <c r="AS7" s="1384">
        <v>45</v>
      </c>
      <c r="AT7" s="1384">
        <v>46</v>
      </c>
      <c r="AU7" s="1384">
        <v>47</v>
      </c>
      <c r="AV7" s="1384">
        <v>48</v>
      </c>
      <c r="AW7" s="1384">
        <v>49</v>
      </c>
      <c r="AX7" s="1384">
        <v>50</v>
      </c>
      <c r="AY7" s="1384">
        <v>51</v>
      </c>
      <c r="AZ7" s="1384">
        <v>52</v>
      </c>
      <c r="BA7" s="1384">
        <v>53</v>
      </c>
    </row>
    <row r="8" spans="1:53" ht="15.75" thickBot="1"/>
    <row r="9" spans="1:53" ht="35.1" customHeight="1">
      <c r="A9" s="1385"/>
      <c r="B9" s="1386"/>
      <c r="C9" s="1770" t="s">
        <v>316</v>
      </c>
      <c r="D9" s="1771"/>
      <c r="E9" s="1771"/>
      <c r="F9" s="1771"/>
      <c r="G9" s="1771"/>
      <c r="H9" s="1771"/>
      <c r="I9" s="1771"/>
      <c r="J9" s="1771"/>
      <c r="K9" s="1782" t="s">
        <v>317</v>
      </c>
      <c r="L9" s="1771"/>
      <c r="M9" s="1771"/>
      <c r="N9" s="1771"/>
      <c r="O9" s="1771"/>
      <c r="P9" s="1771"/>
      <c r="Q9" s="1771"/>
      <c r="R9" s="1783"/>
      <c r="S9" s="1782" t="s">
        <v>318</v>
      </c>
      <c r="T9" s="1771"/>
      <c r="U9" s="1771"/>
      <c r="V9" s="1771"/>
      <c r="W9" s="1771"/>
      <c r="X9" s="1771"/>
      <c r="Y9" s="1771"/>
      <c r="Z9" s="1771"/>
      <c r="AA9" s="1783"/>
      <c r="AB9" s="1784" t="s">
        <v>319</v>
      </c>
      <c r="AC9" s="1770" t="s">
        <v>320</v>
      </c>
      <c r="AD9" s="1771"/>
      <c r="AE9" s="1771"/>
      <c r="AF9" s="1771"/>
      <c r="AG9" s="1771"/>
      <c r="AH9" s="1771"/>
      <c r="AI9" s="1771"/>
      <c r="AJ9" s="1771"/>
      <c r="AK9" s="1771"/>
      <c r="AL9" s="1771"/>
      <c r="AM9" s="1771"/>
      <c r="AN9" s="1772"/>
      <c r="AO9" s="1770" t="s">
        <v>323</v>
      </c>
      <c r="AP9" s="1771"/>
      <c r="AQ9" s="1771"/>
      <c r="AR9" s="1771"/>
      <c r="AS9" s="1771"/>
      <c r="AT9" s="1771"/>
      <c r="AU9" s="1772"/>
      <c r="AV9" s="1767" t="s">
        <v>324</v>
      </c>
      <c r="AW9" s="1767"/>
      <c r="AX9" s="1767"/>
      <c r="AY9" s="1767"/>
      <c r="AZ9" s="1767"/>
      <c r="BA9" s="1768" t="s">
        <v>325</v>
      </c>
    </row>
    <row r="10" spans="1:53" ht="90" customHeight="1">
      <c r="A10" s="1387" t="s">
        <v>127</v>
      </c>
      <c r="B10" s="1388"/>
      <c r="C10" s="1389" t="s">
        <v>219</v>
      </c>
      <c r="D10" s="636" t="s">
        <v>315</v>
      </c>
      <c r="E10" s="636" t="s">
        <v>314</v>
      </c>
      <c r="F10" s="1390" t="s">
        <v>224</v>
      </c>
      <c r="G10" s="1391" t="s">
        <v>249</v>
      </c>
      <c r="H10" s="636" t="s">
        <v>218</v>
      </c>
      <c r="I10" s="636" t="s">
        <v>138</v>
      </c>
      <c r="J10" s="639" t="s">
        <v>214</v>
      </c>
      <c r="K10" s="1392" t="s">
        <v>219</v>
      </c>
      <c r="L10" s="1392" t="s">
        <v>220</v>
      </c>
      <c r="M10" s="1392" t="s">
        <v>221</v>
      </c>
      <c r="N10" s="1390" t="s">
        <v>224</v>
      </c>
      <c r="O10" s="1393" t="s">
        <v>217</v>
      </c>
      <c r="P10" s="1394" t="s">
        <v>218</v>
      </c>
      <c r="Q10" s="1392" t="s">
        <v>138</v>
      </c>
      <c r="R10" s="1393" t="s">
        <v>214</v>
      </c>
      <c r="S10" s="1392" t="s">
        <v>219</v>
      </c>
      <c r="T10" s="1392" t="s">
        <v>220</v>
      </c>
      <c r="U10" s="1392" t="s">
        <v>221</v>
      </c>
      <c r="V10" s="1390" t="s">
        <v>224</v>
      </c>
      <c r="W10" s="1393" t="s">
        <v>217</v>
      </c>
      <c r="X10" s="1394" t="s">
        <v>218</v>
      </c>
      <c r="Y10" s="1392" t="s">
        <v>138</v>
      </c>
      <c r="Z10" s="1393" t="s">
        <v>214</v>
      </c>
      <c r="AA10" s="1395" t="s">
        <v>2</v>
      </c>
      <c r="AB10" s="1785"/>
      <c r="AC10" s="1396" t="s">
        <v>128</v>
      </c>
      <c r="AD10" s="1397" t="s">
        <v>129</v>
      </c>
      <c r="AE10" s="1398" t="s">
        <v>289</v>
      </c>
      <c r="AF10" s="1397" t="s">
        <v>290</v>
      </c>
      <c r="AG10" s="1392" t="s">
        <v>130</v>
      </c>
      <c r="AH10" s="1392" t="s">
        <v>131</v>
      </c>
      <c r="AI10" s="1392" t="s">
        <v>132</v>
      </c>
      <c r="AJ10" s="1392" t="s">
        <v>133</v>
      </c>
      <c r="AK10" s="1392" t="s">
        <v>134</v>
      </c>
      <c r="AL10" s="1392" t="s">
        <v>135</v>
      </c>
      <c r="AM10" s="1392" t="s">
        <v>322</v>
      </c>
      <c r="AN10" s="1392" t="s">
        <v>2</v>
      </c>
      <c r="AO10" s="1399" t="s">
        <v>128</v>
      </c>
      <c r="AP10" s="1397" t="s">
        <v>129</v>
      </c>
      <c r="AQ10" s="1397" t="s">
        <v>130</v>
      </c>
      <c r="AR10" s="1397" t="s">
        <v>134</v>
      </c>
      <c r="AS10" s="1397" t="s">
        <v>135</v>
      </c>
      <c r="AT10" s="1397" t="s">
        <v>321</v>
      </c>
      <c r="AU10" s="1400" t="s">
        <v>2</v>
      </c>
      <c r="AV10" s="1401" t="s">
        <v>154</v>
      </c>
      <c r="AW10" s="1402" t="s">
        <v>155</v>
      </c>
      <c r="AX10" s="1403" t="s">
        <v>225</v>
      </c>
      <c r="AY10" s="1403" t="s">
        <v>226</v>
      </c>
      <c r="AZ10" s="1404" t="s">
        <v>227</v>
      </c>
      <c r="BA10" s="1769"/>
    </row>
    <row r="11" spans="1:53" ht="24.95" customHeight="1">
      <c r="A11" s="1793" t="s">
        <v>248</v>
      </c>
      <c r="B11" s="1405" t="s">
        <v>175</v>
      </c>
      <c r="C11" s="1406" t="s">
        <v>32</v>
      </c>
      <c r="D11" s="1407" t="s">
        <v>32</v>
      </c>
      <c r="E11" s="1407" t="s">
        <v>32</v>
      </c>
      <c r="F11" s="1407" t="s">
        <v>32</v>
      </c>
      <c r="G11" s="1407" t="s">
        <v>32</v>
      </c>
      <c r="H11" s="1407" t="s">
        <v>32</v>
      </c>
      <c r="I11" s="1407" t="s">
        <v>32</v>
      </c>
      <c r="J11" s="1408" t="s">
        <v>32</v>
      </c>
      <c r="K11" s="1409" t="s">
        <v>32</v>
      </c>
      <c r="L11" s="1410" t="s">
        <v>32</v>
      </c>
      <c r="M11" s="1410" t="s">
        <v>32</v>
      </c>
      <c r="N11" s="1410" t="s">
        <v>32</v>
      </c>
      <c r="O11" s="1410" t="s">
        <v>32</v>
      </c>
      <c r="P11" s="1410" t="s">
        <v>32</v>
      </c>
      <c r="Q11" s="1410" t="s">
        <v>32</v>
      </c>
      <c r="R11" s="1410" t="s">
        <v>32</v>
      </c>
      <c r="S11" s="1409" t="s">
        <v>32</v>
      </c>
      <c r="T11" s="1410" t="s">
        <v>32</v>
      </c>
      <c r="U11" s="1410" t="s">
        <v>32</v>
      </c>
      <c r="V11" s="1410" t="s">
        <v>32</v>
      </c>
      <c r="W11" s="1410" t="s">
        <v>32</v>
      </c>
      <c r="X11" s="1410" t="s">
        <v>32</v>
      </c>
      <c r="Y11" s="1410" t="s">
        <v>32</v>
      </c>
      <c r="Z11" s="1409" t="s">
        <v>32</v>
      </c>
      <c r="AA11" s="1411"/>
      <c r="AB11" s="1412" t="s">
        <v>32</v>
      </c>
      <c r="AC11" s="1413" t="s">
        <v>32</v>
      </c>
      <c r="AD11" s="1414" t="s">
        <v>32</v>
      </c>
      <c r="AE11" s="1415" t="s">
        <v>32</v>
      </c>
      <c r="AF11" s="1414" t="s">
        <v>32</v>
      </c>
      <c r="AG11" s="1416" t="s">
        <v>32</v>
      </c>
      <c r="AH11" s="1416" t="s">
        <v>32</v>
      </c>
      <c r="AI11" s="1416" t="s">
        <v>32</v>
      </c>
      <c r="AJ11" s="1416" t="s">
        <v>32</v>
      </c>
      <c r="AK11" s="1416" t="s">
        <v>32</v>
      </c>
      <c r="AL11" s="1416" t="s">
        <v>32</v>
      </c>
      <c r="AM11" s="1416" t="s">
        <v>32</v>
      </c>
      <c r="AN11" s="1417" t="s">
        <v>32</v>
      </c>
      <c r="AO11" s="1413" t="s">
        <v>32</v>
      </c>
      <c r="AP11" s="1414" t="s">
        <v>32</v>
      </c>
      <c r="AQ11" s="1415" t="s">
        <v>32</v>
      </c>
      <c r="AR11" s="1414" t="s">
        <v>32</v>
      </c>
      <c r="AS11" s="1416" t="s">
        <v>32</v>
      </c>
      <c r="AT11" s="1416" t="s">
        <v>32</v>
      </c>
      <c r="AU11" s="1418" t="s">
        <v>32</v>
      </c>
      <c r="AV11" s="1419" t="s">
        <v>32</v>
      </c>
      <c r="AW11" s="1420" t="s">
        <v>32</v>
      </c>
      <c r="AX11" s="1420" t="s">
        <v>32</v>
      </c>
      <c r="AY11" s="1420" t="s">
        <v>32</v>
      </c>
      <c r="AZ11" s="1421" t="s">
        <v>32</v>
      </c>
      <c r="BA11" s="1422" t="s">
        <v>32</v>
      </c>
    </row>
    <row r="12" spans="1:53" ht="24.95" customHeight="1">
      <c r="A12" s="1794"/>
      <c r="B12" s="1423"/>
      <c r="C12" s="1424" t="s">
        <v>4</v>
      </c>
      <c r="D12" s="1425" t="s">
        <v>5</v>
      </c>
      <c r="E12" s="1425" t="s">
        <v>6</v>
      </c>
      <c r="F12" s="1425" t="s">
        <v>7</v>
      </c>
      <c r="G12" s="1425" t="s">
        <v>8</v>
      </c>
      <c r="H12" s="1425" t="s">
        <v>9</v>
      </c>
      <c r="I12" s="1425" t="s">
        <v>59</v>
      </c>
      <c r="J12" s="1426" t="s">
        <v>60</v>
      </c>
      <c r="K12" s="1425" t="s">
        <v>61</v>
      </c>
      <c r="L12" s="1426" t="s">
        <v>10</v>
      </c>
      <c r="M12" s="1425" t="s">
        <v>11</v>
      </c>
      <c r="N12" s="1425" t="s">
        <v>12</v>
      </c>
      <c r="O12" s="1425" t="s">
        <v>13</v>
      </c>
      <c r="P12" s="1425" t="s">
        <v>14</v>
      </c>
      <c r="Q12" s="1425" t="s">
        <v>15</v>
      </c>
      <c r="R12" s="1425" t="s">
        <v>16</v>
      </c>
      <c r="S12" s="1425" t="s">
        <v>17</v>
      </c>
      <c r="T12" s="1425" t="s">
        <v>83</v>
      </c>
      <c r="U12" s="1425" t="s">
        <v>84</v>
      </c>
      <c r="V12" s="1426" t="s">
        <v>105</v>
      </c>
      <c r="W12" s="1425" t="s">
        <v>106</v>
      </c>
      <c r="X12" s="1425" t="s">
        <v>107</v>
      </c>
      <c r="Y12" s="1425" t="s">
        <v>139</v>
      </c>
      <c r="Z12" s="1425" t="s">
        <v>140</v>
      </c>
      <c r="AA12" s="1427" t="s">
        <v>141</v>
      </c>
      <c r="AB12" s="1428" t="s">
        <v>142</v>
      </c>
      <c r="AC12" s="1427" t="s">
        <v>143</v>
      </c>
      <c r="AD12" s="1425" t="s">
        <v>144</v>
      </c>
      <c r="AE12" s="1425" t="s">
        <v>145</v>
      </c>
      <c r="AF12" s="1426" t="s">
        <v>147</v>
      </c>
      <c r="AG12" s="1425" t="s">
        <v>146</v>
      </c>
      <c r="AH12" s="1425" t="s">
        <v>156</v>
      </c>
      <c r="AI12" s="1425" t="s">
        <v>157</v>
      </c>
      <c r="AJ12" s="1425" t="s">
        <v>158</v>
      </c>
      <c r="AK12" s="1425" t="s">
        <v>159</v>
      </c>
      <c r="AL12" s="1425" t="s">
        <v>160</v>
      </c>
      <c r="AM12" s="1426" t="s">
        <v>161</v>
      </c>
      <c r="AN12" s="1426" t="s">
        <v>172</v>
      </c>
      <c r="AO12" s="1424" t="s">
        <v>191</v>
      </c>
      <c r="AP12" s="1426" t="s">
        <v>192</v>
      </c>
      <c r="AQ12" s="1425" t="s">
        <v>222</v>
      </c>
      <c r="AR12" s="1425" t="s">
        <v>223</v>
      </c>
      <c r="AS12" s="1425" t="s">
        <v>196</v>
      </c>
      <c r="AT12" s="1425" t="s">
        <v>250</v>
      </c>
      <c r="AU12" s="1429" t="s">
        <v>251</v>
      </c>
      <c r="AV12" s="1427" t="s">
        <v>252</v>
      </c>
      <c r="AW12" s="1425" t="s">
        <v>253</v>
      </c>
      <c r="AX12" s="1425" t="s">
        <v>254</v>
      </c>
      <c r="AY12" s="1425" t="s">
        <v>255</v>
      </c>
      <c r="AZ12" s="1426" t="s">
        <v>261</v>
      </c>
      <c r="BA12" s="1428" t="s">
        <v>326</v>
      </c>
    </row>
    <row r="13" spans="1:53" ht="24.95" customHeight="1">
      <c r="A13" s="1430">
        <v>1</v>
      </c>
      <c r="B13" s="1431" t="s">
        <v>63</v>
      </c>
      <c r="C13" s="1432">
        <v>18.7</v>
      </c>
      <c r="D13" s="1433">
        <v>10</v>
      </c>
      <c r="E13" s="1433">
        <v>50</v>
      </c>
      <c r="F13" s="1433">
        <v>71</v>
      </c>
      <c r="G13" s="1433">
        <v>0</v>
      </c>
      <c r="H13" s="1433">
        <v>0</v>
      </c>
      <c r="I13" s="1433">
        <v>0</v>
      </c>
      <c r="J13" s="1434">
        <v>0</v>
      </c>
      <c r="K13" s="1435">
        <v>10</v>
      </c>
      <c r="L13" s="1435">
        <v>10</v>
      </c>
      <c r="M13" s="1435">
        <v>50</v>
      </c>
      <c r="N13" s="1435">
        <v>0</v>
      </c>
      <c r="O13" s="1435">
        <v>0</v>
      </c>
      <c r="P13" s="1435">
        <v>0</v>
      </c>
      <c r="Q13" s="1435">
        <v>0</v>
      </c>
      <c r="R13" s="1435">
        <v>0</v>
      </c>
      <c r="S13" s="1435">
        <f>C13+K13</f>
        <v>28.7</v>
      </c>
      <c r="T13" s="1435">
        <f t="shared" ref="T13:Z28" si="0">D13+L13</f>
        <v>20</v>
      </c>
      <c r="U13" s="1435">
        <f t="shared" si="0"/>
        <v>100</v>
      </c>
      <c r="V13" s="1435">
        <f t="shared" si="0"/>
        <v>71</v>
      </c>
      <c r="W13" s="1435">
        <f t="shared" si="0"/>
        <v>0</v>
      </c>
      <c r="X13" s="1435">
        <f t="shared" si="0"/>
        <v>0</v>
      </c>
      <c r="Y13" s="1435">
        <f t="shared" si="0"/>
        <v>0</v>
      </c>
      <c r="Z13" s="1435">
        <f t="shared" si="0"/>
        <v>0</v>
      </c>
      <c r="AA13" s="1436">
        <f>SUM(S13:Z13)</f>
        <v>219.7</v>
      </c>
      <c r="AB13" s="1437">
        <v>6877.5</v>
      </c>
      <c r="AC13" s="1438">
        <v>429.2</v>
      </c>
      <c r="AD13" s="1439">
        <v>0</v>
      </c>
      <c r="AE13" s="1439">
        <v>216.5</v>
      </c>
      <c r="AF13" s="1439">
        <v>0</v>
      </c>
      <c r="AG13" s="1439">
        <v>389.5</v>
      </c>
      <c r="AH13" s="1439">
        <v>69.400000000000006</v>
      </c>
      <c r="AI13" s="1439">
        <v>0</v>
      </c>
      <c r="AJ13" s="1439">
        <v>0</v>
      </c>
      <c r="AK13" s="1439">
        <v>56.1</v>
      </c>
      <c r="AL13" s="1439">
        <v>110.6</v>
      </c>
      <c r="AM13" s="1439">
        <v>0</v>
      </c>
      <c r="AN13" s="1440">
        <v>1271.3</v>
      </c>
      <c r="AO13" s="1441">
        <v>18</v>
      </c>
      <c r="AP13" s="1442">
        <v>58.4</v>
      </c>
      <c r="AQ13" s="1443">
        <v>0</v>
      </c>
      <c r="AR13" s="1442">
        <v>103</v>
      </c>
      <c r="AS13" s="1442">
        <v>39</v>
      </c>
      <c r="AT13" s="1443">
        <v>0</v>
      </c>
      <c r="AU13" s="1444">
        <f>SUM(AO13:AT13)</f>
        <v>218.4</v>
      </c>
      <c r="AV13" s="1445">
        <v>795</v>
      </c>
      <c r="AW13" s="1446">
        <v>80</v>
      </c>
      <c r="AX13" s="1447">
        <v>563</v>
      </c>
      <c r="AY13" s="1448">
        <v>229</v>
      </c>
      <c r="AZ13" s="1449">
        <v>0</v>
      </c>
      <c r="BA13" s="1450">
        <v>6105</v>
      </c>
    </row>
    <row r="14" spans="1:53" ht="20.100000000000001" customHeight="1">
      <c r="A14" s="1451">
        <v>2</v>
      </c>
      <c r="B14" s="1452" t="s">
        <v>64</v>
      </c>
      <c r="C14" s="1453">
        <v>0</v>
      </c>
      <c r="D14" s="1454">
        <v>40</v>
      </c>
      <c r="E14" s="1454">
        <v>12</v>
      </c>
      <c r="F14" s="1454">
        <v>20</v>
      </c>
      <c r="G14" s="1454">
        <v>0</v>
      </c>
      <c r="H14" s="1454">
        <v>0</v>
      </c>
      <c r="I14" s="1454">
        <v>0</v>
      </c>
      <c r="J14" s="1455">
        <v>0</v>
      </c>
      <c r="K14" s="1442">
        <v>0</v>
      </c>
      <c r="L14" s="1442">
        <v>40</v>
      </c>
      <c r="M14" s="1442">
        <v>12</v>
      </c>
      <c r="N14" s="1442">
        <v>0</v>
      </c>
      <c r="O14" s="1442">
        <v>0</v>
      </c>
      <c r="P14" s="1442">
        <v>0</v>
      </c>
      <c r="Q14" s="1442">
        <v>0</v>
      </c>
      <c r="R14" s="1442">
        <v>0</v>
      </c>
      <c r="S14" s="1442">
        <f t="shared" ref="S14:S33" si="1">C14+K14</f>
        <v>0</v>
      </c>
      <c r="T14" s="1442">
        <f t="shared" si="0"/>
        <v>80</v>
      </c>
      <c r="U14" s="1442">
        <f t="shared" si="0"/>
        <v>24</v>
      </c>
      <c r="V14" s="1442">
        <f t="shared" si="0"/>
        <v>20</v>
      </c>
      <c r="W14" s="1442">
        <f t="shared" si="0"/>
        <v>0</v>
      </c>
      <c r="X14" s="1442">
        <f t="shared" si="0"/>
        <v>0</v>
      </c>
      <c r="Y14" s="1442">
        <f t="shared" si="0"/>
        <v>0</v>
      </c>
      <c r="Z14" s="1442">
        <f t="shared" si="0"/>
        <v>0</v>
      </c>
      <c r="AA14" s="1436">
        <f t="shared" ref="AA14:AA31" si="2">SUM(S14:Z14)</f>
        <v>124</v>
      </c>
      <c r="AB14" s="1437">
        <v>3198.9000000000005</v>
      </c>
      <c r="AC14" s="1438">
        <v>0</v>
      </c>
      <c r="AD14" s="1439">
        <v>0</v>
      </c>
      <c r="AE14" s="1439">
        <v>0</v>
      </c>
      <c r="AF14" s="1439">
        <v>0</v>
      </c>
      <c r="AG14" s="1439">
        <v>0</v>
      </c>
      <c r="AH14" s="1439">
        <v>0</v>
      </c>
      <c r="AI14" s="1439">
        <v>0</v>
      </c>
      <c r="AJ14" s="1439">
        <v>0</v>
      </c>
      <c r="AK14" s="1439">
        <v>0</v>
      </c>
      <c r="AL14" s="1439">
        <v>0</v>
      </c>
      <c r="AM14" s="1439">
        <v>40</v>
      </c>
      <c r="AN14" s="1440">
        <v>40</v>
      </c>
      <c r="AO14" s="1441">
        <v>0</v>
      </c>
      <c r="AP14" s="1442">
        <v>0</v>
      </c>
      <c r="AQ14" s="1442">
        <v>0</v>
      </c>
      <c r="AR14" s="1442">
        <v>0</v>
      </c>
      <c r="AS14" s="1442">
        <v>0</v>
      </c>
      <c r="AT14" s="1442">
        <v>0</v>
      </c>
      <c r="AU14" s="1444">
        <f t="shared" ref="AU14:AU31" si="3">SUM(AO14:AT14)</f>
        <v>0</v>
      </c>
      <c r="AV14" s="1456">
        <v>0</v>
      </c>
      <c r="AW14" s="1457">
        <v>0</v>
      </c>
      <c r="AX14" s="1458">
        <v>0</v>
      </c>
      <c r="AY14" s="1459">
        <v>0</v>
      </c>
      <c r="AZ14" s="1460">
        <v>40</v>
      </c>
      <c r="BA14" s="1450">
        <v>3362</v>
      </c>
    </row>
    <row r="15" spans="1:53" ht="20.100000000000001" customHeight="1">
      <c r="A15" s="1451">
        <v>3</v>
      </c>
      <c r="B15" s="1452" t="s">
        <v>65</v>
      </c>
      <c r="C15" s="1453">
        <v>122</v>
      </c>
      <c r="D15" s="1454">
        <v>50</v>
      </c>
      <c r="E15" s="1461">
        <v>45</v>
      </c>
      <c r="F15" s="1454">
        <v>49</v>
      </c>
      <c r="G15" s="1454">
        <v>0</v>
      </c>
      <c r="H15" s="1454">
        <v>0</v>
      </c>
      <c r="I15" s="1454">
        <v>0</v>
      </c>
      <c r="J15" s="1455">
        <v>0</v>
      </c>
      <c r="K15" s="1442">
        <v>150</v>
      </c>
      <c r="L15" s="1442">
        <v>50</v>
      </c>
      <c r="M15" s="1442">
        <v>45</v>
      </c>
      <c r="N15" s="1442">
        <v>0</v>
      </c>
      <c r="O15" s="1442">
        <v>0</v>
      </c>
      <c r="P15" s="1442">
        <v>0</v>
      </c>
      <c r="Q15" s="1442">
        <v>0</v>
      </c>
      <c r="R15" s="1442">
        <v>0</v>
      </c>
      <c r="S15" s="1442">
        <f t="shared" si="1"/>
        <v>272</v>
      </c>
      <c r="T15" s="1442">
        <f t="shared" si="0"/>
        <v>100</v>
      </c>
      <c r="U15" s="1442">
        <f t="shared" si="0"/>
        <v>90</v>
      </c>
      <c r="V15" s="1442">
        <f t="shared" si="0"/>
        <v>49</v>
      </c>
      <c r="W15" s="1442">
        <f t="shared" si="0"/>
        <v>0</v>
      </c>
      <c r="X15" s="1442">
        <f t="shared" si="0"/>
        <v>0</v>
      </c>
      <c r="Y15" s="1442">
        <f t="shared" si="0"/>
        <v>0</v>
      </c>
      <c r="Z15" s="1442">
        <f t="shared" si="0"/>
        <v>0</v>
      </c>
      <c r="AA15" s="1436">
        <f t="shared" si="2"/>
        <v>511</v>
      </c>
      <c r="AB15" s="1437">
        <v>5618.2999999999993</v>
      </c>
      <c r="AC15" s="1438">
        <v>405</v>
      </c>
      <c r="AD15" s="1439">
        <v>200.2</v>
      </c>
      <c r="AE15" s="1439">
        <v>189.4</v>
      </c>
      <c r="AF15" s="1439">
        <v>31.5</v>
      </c>
      <c r="AG15" s="1439">
        <v>219.8</v>
      </c>
      <c r="AH15" s="1439">
        <v>0</v>
      </c>
      <c r="AI15" s="1439">
        <v>0</v>
      </c>
      <c r="AJ15" s="1439">
        <v>0</v>
      </c>
      <c r="AK15" s="1439">
        <v>38.6</v>
      </c>
      <c r="AL15" s="1439">
        <v>18</v>
      </c>
      <c r="AM15" s="1439">
        <v>0</v>
      </c>
      <c r="AN15" s="1440">
        <v>1102.5</v>
      </c>
      <c r="AO15" s="1441">
        <v>18</v>
      </c>
      <c r="AP15" s="1442">
        <v>18.300000000000011</v>
      </c>
      <c r="AQ15" s="1443">
        <v>0</v>
      </c>
      <c r="AR15" s="1442">
        <v>96</v>
      </c>
      <c r="AS15" s="1442">
        <v>18</v>
      </c>
      <c r="AT15" s="1442">
        <v>1070</v>
      </c>
      <c r="AU15" s="1444">
        <f t="shared" si="3"/>
        <v>1220.3</v>
      </c>
      <c r="AV15" s="1456">
        <v>671</v>
      </c>
      <c r="AW15" s="1457">
        <v>285</v>
      </c>
      <c r="AX15" s="1458">
        <v>361</v>
      </c>
      <c r="AY15" s="1459">
        <v>36</v>
      </c>
      <c r="AZ15" s="1460">
        <v>1070</v>
      </c>
      <c r="BA15" s="1450">
        <v>5022</v>
      </c>
    </row>
    <row r="16" spans="1:53" ht="20.100000000000001" customHeight="1">
      <c r="A16" s="1451">
        <v>4</v>
      </c>
      <c r="B16" s="1452" t="s">
        <v>82</v>
      </c>
      <c r="C16" s="1453">
        <v>0</v>
      </c>
      <c r="D16" s="1454">
        <v>107</v>
      </c>
      <c r="E16" s="1454">
        <v>0</v>
      </c>
      <c r="F16" s="1454">
        <v>24</v>
      </c>
      <c r="G16" s="1454">
        <v>0</v>
      </c>
      <c r="H16" s="1454">
        <v>0</v>
      </c>
      <c r="I16" s="1454">
        <v>0</v>
      </c>
      <c r="J16" s="1455">
        <v>0</v>
      </c>
      <c r="K16" s="1442">
        <v>0</v>
      </c>
      <c r="L16" s="1442">
        <v>107</v>
      </c>
      <c r="M16" s="1442">
        <v>0</v>
      </c>
      <c r="N16" s="1442">
        <v>0</v>
      </c>
      <c r="O16" s="1442">
        <v>0</v>
      </c>
      <c r="P16" s="1442">
        <v>0</v>
      </c>
      <c r="Q16" s="1442">
        <v>0</v>
      </c>
      <c r="R16" s="1442">
        <v>0</v>
      </c>
      <c r="S16" s="1442">
        <f t="shared" si="1"/>
        <v>0</v>
      </c>
      <c r="T16" s="1442">
        <f t="shared" si="0"/>
        <v>214</v>
      </c>
      <c r="U16" s="1442">
        <f t="shared" si="0"/>
        <v>0</v>
      </c>
      <c r="V16" s="1442">
        <f t="shared" si="0"/>
        <v>24</v>
      </c>
      <c r="W16" s="1442">
        <f t="shared" si="0"/>
        <v>0</v>
      </c>
      <c r="X16" s="1442">
        <f t="shared" si="0"/>
        <v>0</v>
      </c>
      <c r="Y16" s="1442">
        <f t="shared" si="0"/>
        <v>0</v>
      </c>
      <c r="Z16" s="1442">
        <f t="shared" si="0"/>
        <v>0</v>
      </c>
      <c r="AA16" s="1436">
        <f t="shared" si="2"/>
        <v>238</v>
      </c>
      <c r="AB16" s="1437">
        <v>7411.2999999999993</v>
      </c>
      <c r="AC16" s="1438">
        <v>0</v>
      </c>
      <c r="AD16" s="1439">
        <v>0</v>
      </c>
      <c r="AE16" s="1439">
        <v>0</v>
      </c>
      <c r="AF16" s="1439">
        <v>0</v>
      </c>
      <c r="AG16" s="1439">
        <v>0</v>
      </c>
      <c r="AH16" s="1439">
        <v>0</v>
      </c>
      <c r="AI16" s="1439">
        <v>0</v>
      </c>
      <c r="AJ16" s="1439">
        <v>0</v>
      </c>
      <c r="AK16" s="1439">
        <v>0</v>
      </c>
      <c r="AL16" s="1439">
        <v>0</v>
      </c>
      <c r="AM16" s="1439">
        <v>0</v>
      </c>
      <c r="AN16" s="1440">
        <v>0</v>
      </c>
      <c r="AO16" s="1462">
        <v>0</v>
      </c>
      <c r="AP16" s="1443">
        <v>0</v>
      </c>
      <c r="AQ16" s="1443">
        <v>0</v>
      </c>
      <c r="AR16" s="1443">
        <v>0</v>
      </c>
      <c r="AS16" s="1443">
        <v>0</v>
      </c>
      <c r="AT16" s="1442">
        <v>1547</v>
      </c>
      <c r="AU16" s="1444">
        <f t="shared" si="3"/>
        <v>1547</v>
      </c>
      <c r="AV16" s="1456">
        <v>0</v>
      </c>
      <c r="AW16" s="1457">
        <v>0</v>
      </c>
      <c r="AX16" s="1458">
        <v>0</v>
      </c>
      <c r="AY16" s="1459">
        <v>0</v>
      </c>
      <c r="AZ16" s="1460">
        <v>1547</v>
      </c>
      <c r="BA16" s="1450">
        <v>5990</v>
      </c>
    </row>
    <row r="17" spans="1:53" ht="20.100000000000001" customHeight="1">
      <c r="A17" s="1451">
        <v>5</v>
      </c>
      <c r="B17" s="1452" t="s">
        <v>66</v>
      </c>
      <c r="C17" s="1453">
        <v>50</v>
      </c>
      <c r="D17" s="1454">
        <v>0</v>
      </c>
      <c r="E17" s="1454">
        <v>60</v>
      </c>
      <c r="F17" s="1454">
        <v>92</v>
      </c>
      <c r="G17" s="1454">
        <v>0</v>
      </c>
      <c r="H17" s="1454">
        <v>0</v>
      </c>
      <c r="I17" s="1454">
        <v>0</v>
      </c>
      <c r="J17" s="1455">
        <v>0</v>
      </c>
      <c r="K17" s="1442">
        <v>50</v>
      </c>
      <c r="L17" s="1442">
        <v>0</v>
      </c>
      <c r="M17" s="1442">
        <v>60</v>
      </c>
      <c r="N17" s="1442">
        <v>0</v>
      </c>
      <c r="O17" s="1442">
        <v>0</v>
      </c>
      <c r="P17" s="1442">
        <v>0</v>
      </c>
      <c r="Q17" s="1442">
        <v>0</v>
      </c>
      <c r="R17" s="1442">
        <v>0</v>
      </c>
      <c r="S17" s="1442">
        <f t="shared" si="1"/>
        <v>100</v>
      </c>
      <c r="T17" s="1442">
        <f t="shared" si="0"/>
        <v>0</v>
      </c>
      <c r="U17" s="1442">
        <f t="shared" si="0"/>
        <v>120</v>
      </c>
      <c r="V17" s="1442">
        <f t="shared" si="0"/>
        <v>92</v>
      </c>
      <c r="W17" s="1442">
        <f t="shared" si="0"/>
        <v>0</v>
      </c>
      <c r="X17" s="1442">
        <f t="shared" si="0"/>
        <v>0</v>
      </c>
      <c r="Y17" s="1442">
        <f t="shared" si="0"/>
        <v>0</v>
      </c>
      <c r="Z17" s="1442">
        <f t="shared" si="0"/>
        <v>0</v>
      </c>
      <c r="AA17" s="1436">
        <f t="shared" si="2"/>
        <v>312</v>
      </c>
      <c r="AB17" s="1437">
        <v>10226.800000000001</v>
      </c>
      <c r="AC17" s="1438">
        <v>511.3</v>
      </c>
      <c r="AD17" s="1439">
        <v>0</v>
      </c>
      <c r="AE17" s="1439">
        <v>220.5</v>
      </c>
      <c r="AF17" s="1439">
        <v>0</v>
      </c>
      <c r="AG17" s="1439">
        <v>418.6</v>
      </c>
      <c r="AH17" s="1439">
        <v>0</v>
      </c>
      <c r="AI17" s="1439">
        <v>360.3</v>
      </c>
      <c r="AJ17" s="1439">
        <v>0</v>
      </c>
      <c r="AK17" s="1439">
        <v>62.9</v>
      </c>
      <c r="AL17" s="1439">
        <v>138.30000000000001</v>
      </c>
      <c r="AM17" s="1439">
        <v>36</v>
      </c>
      <c r="AN17" s="1440">
        <v>1747.9</v>
      </c>
      <c r="AO17" s="1441">
        <v>48</v>
      </c>
      <c r="AP17" s="1443">
        <v>0</v>
      </c>
      <c r="AQ17" s="1442">
        <v>10</v>
      </c>
      <c r="AR17" s="1442">
        <v>56</v>
      </c>
      <c r="AS17" s="1442">
        <v>18</v>
      </c>
      <c r="AT17" s="1443">
        <v>0</v>
      </c>
      <c r="AU17" s="1444">
        <f t="shared" si="3"/>
        <v>132</v>
      </c>
      <c r="AV17" s="1456">
        <v>1021</v>
      </c>
      <c r="AW17" s="1457">
        <v>0</v>
      </c>
      <c r="AX17" s="1458">
        <v>571</v>
      </c>
      <c r="AY17" s="1459">
        <v>544</v>
      </c>
      <c r="AZ17" s="1460">
        <v>36</v>
      </c>
      <c r="BA17" s="1450">
        <v>8260</v>
      </c>
    </row>
    <row r="18" spans="1:53" ht="24.95" customHeight="1">
      <c r="A18" s="1451">
        <v>6</v>
      </c>
      <c r="B18" s="1452" t="s">
        <v>67</v>
      </c>
      <c r="C18" s="1453">
        <v>0</v>
      </c>
      <c r="D18" s="1454">
        <v>157</v>
      </c>
      <c r="E18" s="1454">
        <v>0</v>
      </c>
      <c r="F18" s="1454">
        <v>51</v>
      </c>
      <c r="G18" s="1454">
        <v>0</v>
      </c>
      <c r="H18" s="1454">
        <v>0</v>
      </c>
      <c r="I18" s="1454">
        <v>0</v>
      </c>
      <c r="J18" s="1455">
        <v>0</v>
      </c>
      <c r="K18" s="1442">
        <v>0</v>
      </c>
      <c r="L18" s="1442">
        <v>157</v>
      </c>
      <c r="M18" s="1442">
        <v>0</v>
      </c>
      <c r="N18" s="1442">
        <v>0</v>
      </c>
      <c r="O18" s="1442">
        <v>0</v>
      </c>
      <c r="P18" s="1442">
        <v>0</v>
      </c>
      <c r="Q18" s="1442">
        <v>0</v>
      </c>
      <c r="R18" s="1442">
        <v>0</v>
      </c>
      <c r="S18" s="1442">
        <f t="shared" si="1"/>
        <v>0</v>
      </c>
      <c r="T18" s="1442">
        <f t="shared" si="0"/>
        <v>314</v>
      </c>
      <c r="U18" s="1442">
        <f t="shared" si="0"/>
        <v>0</v>
      </c>
      <c r="V18" s="1442">
        <f t="shared" si="0"/>
        <v>51</v>
      </c>
      <c r="W18" s="1442">
        <f t="shared" si="0"/>
        <v>0</v>
      </c>
      <c r="X18" s="1442">
        <f t="shared" si="0"/>
        <v>0</v>
      </c>
      <c r="Y18" s="1442">
        <f t="shared" si="0"/>
        <v>0</v>
      </c>
      <c r="Z18" s="1442">
        <f t="shared" si="0"/>
        <v>0</v>
      </c>
      <c r="AA18" s="1436">
        <f t="shared" si="2"/>
        <v>365</v>
      </c>
      <c r="AB18" s="1437">
        <v>9612.6999999999989</v>
      </c>
      <c r="AC18" s="1438">
        <v>0</v>
      </c>
      <c r="AD18" s="1439">
        <v>0</v>
      </c>
      <c r="AE18" s="1439">
        <v>0</v>
      </c>
      <c r="AF18" s="1439">
        <v>0</v>
      </c>
      <c r="AG18" s="1439">
        <v>0</v>
      </c>
      <c r="AH18" s="1439">
        <v>0</v>
      </c>
      <c r="AI18" s="1439">
        <v>0</v>
      </c>
      <c r="AJ18" s="1439">
        <v>0</v>
      </c>
      <c r="AK18" s="1439">
        <v>0</v>
      </c>
      <c r="AL18" s="1439">
        <v>0</v>
      </c>
      <c r="AM18" s="1439">
        <v>51</v>
      </c>
      <c r="AN18" s="1440">
        <v>51</v>
      </c>
      <c r="AO18" s="1462">
        <v>0</v>
      </c>
      <c r="AP18" s="1443">
        <v>0</v>
      </c>
      <c r="AQ18" s="1443">
        <v>0</v>
      </c>
      <c r="AR18" s="1443">
        <v>0</v>
      </c>
      <c r="AS18" s="1443">
        <v>0</v>
      </c>
      <c r="AT18" s="1442">
        <v>1378</v>
      </c>
      <c r="AU18" s="1444">
        <f t="shared" si="3"/>
        <v>1378</v>
      </c>
      <c r="AV18" s="1456">
        <v>0</v>
      </c>
      <c r="AW18" s="1457">
        <v>0</v>
      </c>
      <c r="AX18" s="1458">
        <v>0</v>
      </c>
      <c r="AY18" s="1459">
        <v>0</v>
      </c>
      <c r="AZ18" s="1460">
        <v>1429</v>
      </c>
      <c r="BA18" s="1450">
        <v>8374</v>
      </c>
    </row>
    <row r="19" spans="1:53" ht="20.100000000000001" customHeight="1">
      <c r="A19" s="1451">
        <v>7</v>
      </c>
      <c r="B19" s="1452" t="s">
        <v>68</v>
      </c>
      <c r="C19" s="1453">
        <v>7</v>
      </c>
      <c r="D19" s="1454">
        <v>0</v>
      </c>
      <c r="E19" s="1454">
        <v>10</v>
      </c>
      <c r="F19" s="1454">
        <v>30</v>
      </c>
      <c r="G19" s="1454">
        <v>0</v>
      </c>
      <c r="H19" s="1454">
        <v>0</v>
      </c>
      <c r="I19" s="1454">
        <v>0</v>
      </c>
      <c r="J19" s="1455">
        <v>0</v>
      </c>
      <c r="K19" s="1442">
        <v>11</v>
      </c>
      <c r="L19" s="1442">
        <v>15</v>
      </c>
      <c r="M19" s="1442">
        <v>10</v>
      </c>
      <c r="N19" s="1442">
        <v>5</v>
      </c>
      <c r="O19" s="1442">
        <v>0</v>
      </c>
      <c r="P19" s="1442">
        <v>0</v>
      </c>
      <c r="Q19" s="1442">
        <v>0</v>
      </c>
      <c r="R19" s="1442">
        <v>0</v>
      </c>
      <c r="S19" s="1442">
        <f t="shared" si="1"/>
        <v>18</v>
      </c>
      <c r="T19" s="1442">
        <f t="shared" si="0"/>
        <v>15</v>
      </c>
      <c r="U19" s="1442">
        <f t="shared" si="0"/>
        <v>20</v>
      </c>
      <c r="V19" s="1442">
        <f t="shared" si="0"/>
        <v>35</v>
      </c>
      <c r="W19" s="1442">
        <f t="shared" si="0"/>
        <v>0</v>
      </c>
      <c r="X19" s="1442">
        <f t="shared" si="0"/>
        <v>0</v>
      </c>
      <c r="Y19" s="1442">
        <f t="shared" si="0"/>
        <v>0</v>
      </c>
      <c r="Z19" s="1442">
        <f t="shared" si="0"/>
        <v>0</v>
      </c>
      <c r="AA19" s="1436">
        <f t="shared" si="2"/>
        <v>88</v>
      </c>
      <c r="AB19" s="1437">
        <v>1210.3999999999999</v>
      </c>
      <c r="AC19" s="1438">
        <v>0</v>
      </c>
      <c r="AD19" s="1439">
        <v>0</v>
      </c>
      <c r="AE19" s="1439">
        <v>0</v>
      </c>
      <c r="AF19" s="1439">
        <v>0</v>
      </c>
      <c r="AG19" s="1439">
        <v>0</v>
      </c>
      <c r="AH19" s="1439">
        <v>0</v>
      </c>
      <c r="AI19" s="1439">
        <v>0</v>
      </c>
      <c r="AJ19" s="1439">
        <v>0</v>
      </c>
      <c r="AK19" s="1439">
        <v>0</v>
      </c>
      <c r="AL19" s="1439">
        <v>0</v>
      </c>
      <c r="AM19" s="1439">
        <v>0</v>
      </c>
      <c r="AN19" s="1440">
        <v>0</v>
      </c>
      <c r="AO19" s="1463">
        <v>0</v>
      </c>
      <c r="AP19" s="1443">
        <v>0</v>
      </c>
      <c r="AQ19" s="1443">
        <v>0</v>
      </c>
      <c r="AR19" s="1443">
        <v>0</v>
      </c>
      <c r="AS19" s="1443">
        <v>0</v>
      </c>
      <c r="AT19" s="1443">
        <v>0</v>
      </c>
      <c r="AU19" s="1444">
        <f t="shared" si="3"/>
        <v>0</v>
      </c>
      <c r="AV19" s="1456">
        <v>0</v>
      </c>
      <c r="AW19" s="1457">
        <v>0</v>
      </c>
      <c r="AX19" s="1458">
        <v>0</v>
      </c>
      <c r="AY19" s="1459">
        <v>0</v>
      </c>
      <c r="AZ19" s="1460">
        <v>0</v>
      </c>
      <c r="BA19" s="1450">
        <v>965</v>
      </c>
    </row>
    <row r="20" spans="1:53" ht="20.100000000000001" customHeight="1">
      <c r="A20" s="1451">
        <v>8</v>
      </c>
      <c r="B20" s="1452" t="s">
        <v>69</v>
      </c>
      <c r="C20" s="1453">
        <v>168</v>
      </c>
      <c r="D20" s="1454">
        <v>16</v>
      </c>
      <c r="E20" s="1454">
        <v>25</v>
      </c>
      <c r="F20" s="1454">
        <v>122</v>
      </c>
      <c r="G20" s="1454">
        <v>54.8</v>
      </c>
      <c r="H20" s="1454">
        <v>0</v>
      </c>
      <c r="I20" s="1454">
        <v>0</v>
      </c>
      <c r="J20" s="1455">
        <v>0</v>
      </c>
      <c r="K20" s="1442">
        <v>200</v>
      </c>
      <c r="L20" s="1442">
        <v>12</v>
      </c>
      <c r="M20" s="1442">
        <v>25</v>
      </c>
      <c r="N20" s="1442">
        <v>2</v>
      </c>
      <c r="O20" s="1442">
        <v>15</v>
      </c>
      <c r="P20" s="1442">
        <v>0</v>
      </c>
      <c r="Q20" s="1442">
        <v>0</v>
      </c>
      <c r="R20" s="1442">
        <v>0</v>
      </c>
      <c r="S20" s="1442">
        <f t="shared" si="1"/>
        <v>368</v>
      </c>
      <c r="T20" s="1442">
        <f t="shared" si="0"/>
        <v>28</v>
      </c>
      <c r="U20" s="1442">
        <f t="shared" si="0"/>
        <v>50</v>
      </c>
      <c r="V20" s="1442">
        <f t="shared" si="0"/>
        <v>124</v>
      </c>
      <c r="W20" s="1442">
        <f t="shared" si="0"/>
        <v>69.8</v>
      </c>
      <c r="X20" s="1442">
        <f t="shared" si="0"/>
        <v>0</v>
      </c>
      <c r="Y20" s="1442">
        <f t="shared" si="0"/>
        <v>0</v>
      </c>
      <c r="Z20" s="1442">
        <f t="shared" si="0"/>
        <v>0</v>
      </c>
      <c r="AA20" s="1436">
        <f t="shared" si="2"/>
        <v>639.79999999999995</v>
      </c>
      <c r="AB20" s="1437">
        <v>12354.8</v>
      </c>
      <c r="AC20" s="1438">
        <v>595.70000000000005</v>
      </c>
      <c r="AD20" s="1439">
        <v>283.2</v>
      </c>
      <c r="AE20" s="1439">
        <v>293.2</v>
      </c>
      <c r="AF20" s="1439">
        <v>53.1</v>
      </c>
      <c r="AG20" s="1439">
        <v>481.3</v>
      </c>
      <c r="AH20" s="1439">
        <v>0</v>
      </c>
      <c r="AI20" s="1439">
        <v>0</v>
      </c>
      <c r="AJ20" s="1439">
        <v>98.6</v>
      </c>
      <c r="AK20" s="1439">
        <v>67.400000000000006</v>
      </c>
      <c r="AL20" s="1439">
        <v>117.4</v>
      </c>
      <c r="AM20" s="1439">
        <v>35</v>
      </c>
      <c r="AN20" s="1440">
        <v>2024.9</v>
      </c>
      <c r="AO20" s="1441">
        <v>81</v>
      </c>
      <c r="AP20" s="1442">
        <v>17.300000000000011</v>
      </c>
      <c r="AQ20" s="1443">
        <v>0</v>
      </c>
      <c r="AR20" s="1442">
        <v>104</v>
      </c>
      <c r="AS20" s="1442">
        <v>41</v>
      </c>
      <c r="AT20" s="1443">
        <v>0</v>
      </c>
      <c r="AU20" s="1444">
        <f t="shared" si="3"/>
        <v>243.3</v>
      </c>
      <c r="AV20" s="1456">
        <v>1151</v>
      </c>
      <c r="AW20" s="1457">
        <v>389</v>
      </c>
      <c r="AX20" s="1458">
        <v>659</v>
      </c>
      <c r="AY20" s="1459">
        <v>267</v>
      </c>
      <c r="AZ20" s="1460">
        <v>35</v>
      </c>
      <c r="BA20" s="1450">
        <v>10839</v>
      </c>
    </row>
    <row r="21" spans="1:53" ht="20.100000000000001" customHeight="1">
      <c r="A21" s="1451">
        <v>9</v>
      </c>
      <c r="B21" s="1452" t="s">
        <v>70</v>
      </c>
      <c r="C21" s="1453">
        <v>60</v>
      </c>
      <c r="D21" s="1454">
        <v>59</v>
      </c>
      <c r="E21" s="1454">
        <v>25</v>
      </c>
      <c r="F21" s="1454">
        <v>70</v>
      </c>
      <c r="G21" s="1454">
        <v>0</v>
      </c>
      <c r="H21" s="1454">
        <v>0</v>
      </c>
      <c r="I21" s="1454">
        <v>0</v>
      </c>
      <c r="J21" s="1455">
        <v>24</v>
      </c>
      <c r="K21" s="1442">
        <v>83</v>
      </c>
      <c r="L21" s="1442">
        <v>60</v>
      </c>
      <c r="M21" s="1442">
        <v>25</v>
      </c>
      <c r="N21" s="1442">
        <v>0</v>
      </c>
      <c r="O21" s="1442">
        <v>0</v>
      </c>
      <c r="P21" s="1442">
        <v>0</v>
      </c>
      <c r="Q21" s="1442">
        <v>0</v>
      </c>
      <c r="R21" s="1442">
        <v>12</v>
      </c>
      <c r="S21" s="1442">
        <f t="shared" si="1"/>
        <v>143</v>
      </c>
      <c r="T21" s="1442">
        <f t="shared" si="0"/>
        <v>119</v>
      </c>
      <c r="U21" s="1442">
        <f t="shared" si="0"/>
        <v>50</v>
      </c>
      <c r="V21" s="1442">
        <f t="shared" si="0"/>
        <v>70</v>
      </c>
      <c r="W21" s="1442">
        <f t="shared" si="0"/>
        <v>0</v>
      </c>
      <c r="X21" s="1442">
        <f t="shared" si="0"/>
        <v>0</v>
      </c>
      <c r="Y21" s="1442">
        <f t="shared" si="0"/>
        <v>0</v>
      </c>
      <c r="Z21" s="1442">
        <f t="shared" si="0"/>
        <v>36</v>
      </c>
      <c r="AA21" s="1436">
        <f t="shared" si="2"/>
        <v>418</v>
      </c>
      <c r="AB21" s="1437">
        <v>4669.3999999999996</v>
      </c>
      <c r="AC21" s="1438">
        <v>0</v>
      </c>
      <c r="AD21" s="1439">
        <v>0</v>
      </c>
      <c r="AE21" s="1439">
        <v>0</v>
      </c>
      <c r="AF21" s="1439">
        <v>0</v>
      </c>
      <c r="AG21" s="1439">
        <v>0</v>
      </c>
      <c r="AH21" s="1439">
        <v>0</v>
      </c>
      <c r="AI21" s="1439">
        <v>0</v>
      </c>
      <c r="AJ21" s="1439">
        <v>0</v>
      </c>
      <c r="AK21" s="1439">
        <v>0</v>
      </c>
      <c r="AL21" s="1439">
        <v>0</v>
      </c>
      <c r="AM21" s="1439">
        <v>0</v>
      </c>
      <c r="AN21" s="1440">
        <v>0</v>
      </c>
      <c r="AO21" s="1463">
        <v>0</v>
      </c>
      <c r="AP21" s="1443">
        <v>0</v>
      </c>
      <c r="AQ21" s="1443">
        <v>0</v>
      </c>
      <c r="AR21" s="1443">
        <v>0</v>
      </c>
      <c r="AS21" s="1443">
        <v>0</v>
      </c>
      <c r="AT21" s="1443">
        <v>0</v>
      </c>
      <c r="AU21" s="1444">
        <f t="shared" si="3"/>
        <v>0</v>
      </c>
      <c r="AV21" s="1456">
        <v>0</v>
      </c>
      <c r="AW21" s="1457">
        <v>0</v>
      </c>
      <c r="AX21" s="1458">
        <v>0</v>
      </c>
      <c r="AY21" s="1459">
        <v>0</v>
      </c>
      <c r="AZ21" s="1460">
        <v>0</v>
      </c>
      <c r="BA21" s="1450">
        <v>4096</v>
      </c>
    </row>
    <row r="22" spans="1:53" ht="20.100000000000001" customHeight="1">
      <c r="A22" s="1451">
        <v>10</v>
      </c>
      <c r="B22" s="1452" t="s">
        <v>123</v>
      </c>
      <c r="C22" s="1453">
        <v>0</v>
      </c>
      <c r="D22" s="1454">
        <v>0</v>
      </c>
      <c r="E22" s="1454">
        <v>0</v>
      </c>
      <c r="F22" s="1454">
        <v>0</v>
      </c>
      <c r="G22" s="1454">
        <v>0</v>
      </c>
      <c r="H22" s="1454">
        <v>0</v>
      </c>
      <c r="I22" s="1454">
        <v>0</v>
      </c>
      <c r="J22" s="1455">
        <v>0</v>
      </c>
      <c r="K22" s="1442">
        <v>0</v>
      </c>
      <c r="L22" s="1442">
        <v>0</v>
      </c>
      <c r="M22" s="1442">
        <v>0</v>
      </c>
      <c r="N22" s="1442">
        <v>0</v>
      </c>
      <c r="O22" s="1442">
        <v>0</v>
      </c>
      <c r="P22" s="1442">
        <v>0</v>
      </c>
      <c r="Q22" s="1442">
        <v>0</v>
      </c>
      <c r="R22" s="1442">
        <v>0</v>
      </c>
      <c r="S22" s="1442">
        <f t="shared" si="1"/>
        <v>0</v>
      </c>
      <c r="T22" s="1442">
        <f t="shared" si="0"/>
        <v>0</v>
      </c>
      <c r="U22" s="1442">
        <f t="shared" si="0"/>
        <v>0</v>
      </c>
      <c r="V22" s="1442">
        <f t="shared" si="0"/>
        <v>0</v>
      </c>
      <c r="W22" s="1442">
        <f t="shared" si="0"/>
        <v>0</v>
      </c>
      <c r="X22" s="1442">
        <f t="shared" si="0"/>
        <v>0</v>
      </c>
      <c r="Y22" s="1442">
        <f t="shared" si="0"/>
        <v>0</v>
      </c>
      <c r="Z22" s="1442">
        <f t="shared" si="0"/>
        <v>0</v>
      </c>
      <c r="AA22" s="1436">
        <f t="shared" si="2"/>
        <v>0</v>
      </c>
      <c r="AB22" s="1437">
        <v>5390.5</v>
      </c>
      <c r="AC22" s="1438">
        <v>0</v>
      </c>
      <c r="AD22" s="1439">
        <v>0</v>
      </c>
      <c r="AE22" s="1439">
        <v>0</v>
      </c>
      <c r="AF22" s="1439">
        <v>0</v>
      </c>
      <c r="AG22" s="1439">
        <v>0</v>
      </c>
      <c r="AH22" s="1439">
        <v>0</v>
      </c>
      <c r="AI22" s="1439">
        <v>0</v>
      </c>
      <c r="AJ22" s="1439">
        <v>0</v>
      </c>
      <c r="AK22" s="1439">
        <v>0</v>
      </c>
      <c r="AL22" s="1439">
        <v>0</v>
      </c>
      <c r="AM22" s="1439">
        <v>0</v>
      </c>
      <c r="AN22" s="1440">
        <v>0</v>
      </c>
      <c r="AO22" s="1463">
        <v>0</v>
      </c>
      <c r="AP22" s="1443">
        <v>0</v>
      </c>
      <c r="AQ22" s="1443">
        <v>0</v>
      </c>
      <c r="AR22" s="1442">
        <v>40</v>
      </c>
      <c r="AS22" s="1443">
        <v>0</v>
      </c>
      <c r="AT22" s="1443">
        <v>0</v>
      </c>
      <c r="AU22" s="1444">
        <f t="shared" si="3"/>
        <v>40</v>
      </c>
      <c r="AV22" s="1456">
        <v>0</v>
      </c>
      <c r="AW22" s="1457">
        <v>0</v>
      </c>
      <c r="AX22" s="1458">
        <v>40</v>
      </c>
      <c r="AY22" s="1459">
        <v>0</v>
      </c>
      <c r="AZ22" s="1460">
        <v>0</v>
      </c>
      <c r="BA22" s="1450">
        <v>5645</v>
      </c>
    </row>
    <row r="23" spans="1:53" ht="24.95" customHeight="1">
      <c r="A23" s="1451">
        <v>11</v>
      </c>
      <c r="B23" s="1452" t="s">
        <v>124</v>
      </c>
      <c r="C23" s="1453">
        <v>0</v>
      </c>
      <c r="D23" s="1454">
        <v>60</v>
      </c>
      <c r="E23" s="1454">
        <v>20</v>
      </c>
      <c r="F23" s="1454">
        <v>30</v>
      </c>
      <c r="G23" s="1454">
        <v>0</v>
      </c>
      <c r="H23" s="1454">
        <v>0</v>
      </c>
      <c r="I23" s="1454">
        <v>0</v>
      </c>
      <c r="J23" s="1455">
        <v>0</v>
      </c>
      <c r="K23" s="1442">
        <v>0</v>
      </c>
      <c r="L23" s="1442">
        <v>60</v>
      </c>
      <c r="M23" s="1442">
        <v>20</v>
      </c>
      <c r="N23" s="1442">
        <v>0</v>
      </c>
      <c r="O23" s="1442">
        <v>0</v>
      </c>
      <c r="P23" s="1442">
        <v>0</v>
      </c>
      <c r="Q23" s="1442">
        <v>0</v>
      </c>
      <c r="R23" s="1442">
        <v>0</v>
      </c>
      <c r="S23" s="1442">
        <f t="shared" si="1"/>
        <v>0</v>
      </c>
      <c r="T23" s="1442">
        <f t="shared" si="0"/>
        <v>120</v>
      </c>
      <c r="U23" s="1442">
        <f t="shared" si="0"/>
        <v>40</v>
      </c>
      <c r="V23" s="1442">
        <f t="shared" si="0"/>
        <v>30</v>
      </c>
      <c r="W23" s="1442">
        <f t="shared" si="0"/>
        <v>0</v>
      </c>
      <c r="X23" s="1442">
        <f t="shared" si="0"/>
        <v>0</v>
      </c>
      <c r="Y23" s="1442">
        <f t="shared" si="0"/>
        <v>0</v>
      </c>
      <c r="Z23" s="1442">
        <f t="shared" si="0"/>
        <v>0</v>
      </c>
      <c r="AA23" s="1436">
        <f t="shared" si="2"/>
        <v>190</v>
      </c>
      <c r="AB23" s="1437">
        <v>3962.6</v>
      </c>
      <c r="AC23" s="1438">
        <v>0</v>
      </c>
      <c r="AD23" s="1439">
        <v>0</v>
      </c>
      <c r="AE23" s="1439">
        <v>0</v>
      </c>
      <c r="AF23" s="1439">
        <v>0</v>
      </c>
      <c r="AG23" s="1439">
        <v>0</v>
      </c>
      <c r="AH23" s="1439">
        <v>0</v>
      </c>
      <c r="AI23" s="1439">
        <v>0</v>
      </c>
      <c r="AJ23" s="1439">
        <v>0</v>
      </c>
      <c r="AK23" s="1439">
        <v>0</v>
      </c>
      <c r="AL23" s="1439">
        <v>0</v>
      </c>
      <c r="AM23" s="1439">
        <v>0</v>
      </c>
      <c r="AN23" s="1440">
        <v>0</v>
      </c>
      <c r="AO23" s="1463">
        <v>0</v>
      </c>
      <c r="AP23" s="1443">
        <v>0</v>
      </c>
      <c r="AQ23" s="1443">
        <v>0</v>
      </c>
      <c r="AR23" s="1443">
        <v>0</v>
      </c>
      <c r="AS23" s="1443">
        <v>0</v>
      </c>
      <c r="AT23" s="1443">
        <v>0</v>
      </c>
      <c r="AU23" s="1444">
        <f t="shared" si="3"/>
        <v>0</v>
      </c>
      <c r="AV23" s="1456">
        <v>0</v>
      </c>
      <c r="AW23" s="1457">
        <v>0</v>
      </c>
      <c r="AX23" s="1458">
        <v>0</v>
      </c>
      <c r="AY23" s="1459">
        <v>0</v>
      </c>
      <c r="AZ23" s="1460">
        <v>0</v>
      </c>
      <c r="BA23" s="1450">
        <v>0</v>
      </c>
    </row>
    <row r="24" spans="1:53" ht="20.100000000000001" customHeight="1">
      <c r="A24" s="1451">
        <v>12</v>
      </c>
      <c r="B24" s="1452" t="s">
        <v>77</v>
      </c>
      <c r="C24" s="1453">
        <v>0</v>
      </c>
      <c r="D24" s="1454">
        <v>55</v>
      </c>
      <c r="E24" s="1454">
        <v>0</v>
      </c>
      <c r="F24" s="1454">
        <v>27</v>
      </c>
      <c r="G24" s="1454">
        <v>0</v>
      </c>
      <c r="H24" s="1454">
        <v>10</v>
      </c>
      <c r="I24" s="1454">
        <v>0</v>
      </c>
      <c r="J24" s="1455">
        <v>0</v>
      </c>
      <c r="K24" s="1442">
        <v>0</v>
      </c>
      <c r="L24" s="1442">
        <v>70</v>
      </c>
      <c r="M24" s="1442">
        <v>0</v>
      </c>
      <c r="N24" s="1442">
        <v>0</v>
      </c>
      <c r="O24" s="1442">
        <v>0</v>
      </c>
      <c r="P24" s="1442">
        <v>60</v>
      </c>
      <c r="Q24" s="1442">
        <v>0</v>
      </c>
      <c r="R24" s="1442">
        <v>0</v>
      </c>
      <c r="S24" s="1442">
        <f t="shared" si="1"/>
        <v>0</v>
      </c>
      <c r="T24" s="1442">
        <f t="shared" si="0"/>
        <v>125</v>
      </c>
      <c r="U24" s="1442">
        <f t="shared" si="0"/>
        <v>0</v>
      </c>
      <c r="V24" s="1442">
        <f t="shared" si="0"/>
        <v>27</v>
      </c>
      <c r="W24" s="1442">
        <f t="shared" si="0"/>
        <v>0</v>
      </c>
      <c r="X24" s="1442">
        <f t="shared" si="0"/>
        <v>70</v>
      </c>
      <c r="Y24" s="1442">
        <f t="shared" si="0"/>
        <v>0</v>
      </c>
      <c r="Z24" s="1442">
        <f t="shared" si="0"/>
        <v>0</v>
      </c>
      <c r="AA24" s="1436">
        <f t="shared" si="2"/>
        <v>222</v>
      </c>
      <c r="AB24" s="1437">
        <v>2287.5</v>
      </c>
      <c r="AC24" s="1438">
        <v>0</v>
      </c>
      <c r="AD24" s="1439">
        <v>0</v>
      </c>
      <c r="AE24" s="1439">
        <v>0</v>
      </c>
      <c r="AF24" s="1439">
        <v>0</v>
      </c>
      <c r="AG24" s="1439">
        <v>0</v>
      </c>
      <c r="AH24" s="1439">
        <v>0</v>
      </c>
      <c r="AI24" s="1439">
        <v>0</v>
      </c>
      <c r="AJ24" s="1439">
        <v>0</v>
      </c>
      <c r="AK24" s="1439">
        <v>0</v>
      </c>
      <c r="AL24" s="1439">
        <v>0</v>
      </c>
      <c r="AM24" s="1439">
        <v>38</v>
      </c>
      <c r="AN24" s="1440">
        <v>38</v>
      </c>
      <c r="AO24" s="1463">
        <v>0</v>
      </c>
      <c r="AP24" s="1443">
        <v>0</v>
      </c>
      <c r="AQ24" s="1443">
        <v>0</v>
      </c>
      <c r="AR24" s="1443">
        <v>0</v>
      </c>
      <c r="AS24" s="1443">
        <v>0</v>
      </c>
      <c r="AT24" s="1443">
        <v>0</v>
      </c>
      <c r="AU24" s="1444">
        <f t="shared" si="3"/>
        <v>0</v>
      </c>
      <c r="AV24" s="1456">
        <v>0</v>
      </c>
      <c r="AW24" s="1457">
        <v>0</v>
      </c>
      <c r="AX24" s="1458">
        <v>0</v>
      </c>
      <c r="AY24" s="1459">
        <v>0</v>
      </c>
      <c r="AZ24" s="1460">
        <v>38</v>
      </c>
      <c r="BA24" s="1450">
        <v>2249</v>
      </c>
    </row>
    <row r="25" spans="1:53" ht="20.100000000000001" customHeight="1">
      <c r="A25" s="1451">
        <v>13</v>
      </c>
      <c r="B25" s="1452" t="s">
        <v>71</v>
      </c>
      <c r="C25" s="1453">
        <v>0</v>
      </c>
      <c r="D25" s="1454">
        <v>75</v>
      </c>
      <c r="E25" s="1454">
        <v>20</v>
      </c>
      <c r="F25" s="1454">
        <v>50</v>
      </c>
      <c r="G25" s="1454">
        <v>0</v>
      </c>
      <c r="H25" s="1454">
        <v>70</v>
      </c>
      <c r="I25" s="1454">
        <v>0</v>
      </c>
      <c r="J25" s="1455">
        <v>0</v>
      </c>
      <c r="K25" s="1442">
        <v>0</v>
      </c>
      <c r="L25" s="1442">
        <v>75</v>
      </c>
      <c r="M25" s="1442">
        <v>20</v>
      </c>
      <c r="N25" s="1442">
        <v>0</v>
      </c>
      <c r="O25" s="1442">
        <v>0</v>
      </c>
      <c r="P25" s="1442">
        <v>0</v>
      </c>
      <c r="Q25" s="1442">
        <v>0</v>
      </c>
      <c r="R25" s="1442">
        <v>0</v>
      </c>
      <c r="S25" s="1442">
        <f t="shared" si="1"/>
        <v>0</v>
      </c>
      <c r="T25" s="1442">
        <f t="shared" si="0"/>
        <v>150</v>
      </c>
      <c r="U25" s="1442">
        <f t="shared" si="0"/>
        <v>40</v>
      </c>
      <c r="V25" s="1442">
        <f t="shared" si="0"/>
        <v>50</v>
      </c>
      <c r="W25" s="1442">
        <f t="shared" si="0"/>
        <v>0</v>
      </c>
      <c r="X25" s="1442">
        <f t="shared" si="0"/>
        <v>70</v>
      </c>
      <c r="Y25" s="1442">
        <f t="shared" si="0"/>
        <v>0</v>
      </c>
      <c r="Z25" s="1442">
        <f t="shared" si="0"/>
        <v>0</v>
      </c>
      <c r="AA25" s="1436">
        <f t="shared" si="2"/>
        <v>310</v>
      </c>
      <c r="AB25" s="1437">
        <v>6190.9999999999991</v>
      </c>
      <c r="AC25" s="1438">
        <v>0</v>
      </c>
      <c r="AD25" s="1439">
        <v>0</v>
      </c>
      <c r="AE25" s="1439">
        <v>0</v>
      </c>
      <c r="AF25" s="1439">
        <v>0</v>
      </c>
      <c r="AG25" s="1439">
        <v>0</v>
      </c>
      <c r="AH25" s="1439">
        <v>0</v>
      </c>
      <c r="AI25" s="1439">
        <v>0</v>
      </c>
      <c r="AJ25" s="1439">
        <v>0</v>
      </c>
      <c r="AK25" s="1439">
        <v>0</v>
      </c>
      <c r="AL25" s="1439">
        <v>0</v>
      </c>
      <c r="AM25" s="1439">
        <v>44</v>
      </c>
      <c r="AN25" s="1440">
        <v>44</v>
      </c>
      <c r="AO25" s="1463">
        <v>0</v>
      </c>
      <c r="AP25" s="1443">
        <v>0</v>
      </c>
      <c r="AQ25" s="1443">
        <v>0</v>
      </c>
      <c r="AR25" s="1443">
        <v>0</v>
      </c>
      <c r="AS25" s="1443">
        <v>0</v>
      </c>
      <c r="AT25" s="1442">
        <v>759</v>
      </c>
      <c r="AU25" s="1444">
        <f t="shared" si="3"/>
        <v>759</v>
      </c>
      <c r="AV25" s="1456">
        <v>0</v>
      </c>
      <c r="AW25" s="1457">
        <v>0</v>
      </c>
      <c r="AX25" s="1458">
        <v>0</v>
      </c>
      <c r="AY25" s="1459">
        <v>0</v>
      </c>
      <c r="AZ25" s="1460">
        <v>803</v>
      </c>
      <c r="BA25" s="1450">
        <v>5575</v>
      </c>
    </row>
    <row r="26" spans="1:53" ht="20.100000000000001" customHeight="1">
      <c r="A26" s="1451">
        <v>14</v>
      </c>
      <c r="B26" s="1464" t="s">
        <v>125</v>
      </c>
      <c r="C26" s="1453">
        <v>0</v>
      </c>
      <c r="D26" s="1454">
        <v>0</v>
      </c>
      <c r="E26" s="1454">
        <v>0</v>
      </c>
      <c r="F26" s="1454">
        <v>0</v>
      </c>
      <c r="G26" s="1454">
        <v>0</v>
      </c>
      <c r="H26" s="1454">
        <v>0</v>
      </c>
      <c r="I26" s="1454">
        <v>0</v>
      </c>
      <c r="J26" s="1455">
        <v>0</v>
      </c>
      <c r="K26" s="1442">
        <v>5</v>
      </c>
      <c r="L26" s="1442">
        <v>0</v>
      </c>
      <c r="M26" s="1442">
        <v>0</v>
      </c>
      <c r="N26" s="1442">
        <v>24</v>
      </c>
      <c r="O26" s="1442">
        <v>0</v>
      </c>
      <c r="P26" s="1442">
        <v>0</v>
      </c>
      <c r="Q26" s="1442">
        <v>0</v>
      </c>
      <c r="R26" s="1442">
        <v>0</v>
      </c>
      <c r="S26" s="1442">
        <f t="shared" si="1"/>
        <v>5</v>
      </c>
      <c r="T26" s="1442">
        <f t="shared" si="0"/>
        <v>0</v>
      </c>
      <c r="U26" s="1442">
        <f t="shared" si="0"/>
        <v>0</v>
      </c>
      <c r="V26" s="1442">
        <f t="shared" si="0"/>
        <v>24</v>
      </c>
      <c r="W26" s="1442">
        <f t="shared" si="0"/>
        <v>0</v>
      </c>
      <c r="X26" s="1442">
        <f t="shared" si="0"/>
        <v>0</v>
      </c>
      <c r="Y26" s="1442">
        <f t="shared" si="0"/>
        <v>0</v>
      </c>
      <c r="Z26" s="1442">
        <f t="shared" si="0"/>
        <v>0</v>
      </c>
      <c r="AA26" s="1436">
        <f t="shared" si="2"/>
        <v>29</v>
      </c>
      <c r="AB26" s="1437">
        <v>534.70000000000005</v>
      </c>
      <c r="AC26" s="1438">
        <v>0</v>
      </c>
      <c r="AD26" s="1439">
        <v>0</v>
      </c>
      <c r="AE26" s="1439">
        <v>0</v>
      </c>
      <c r="AF26" s="1439">
        <v>0</v>
      </c>
      <c r="AG26" s="1439">
        <v>0</v>
      </c>
      <c r="AH26" s="1439">
        <v>81.900000000000006</v>
      </c>
      <c r="AI26" s="1439">
        <v>0</v>
      </c>
      <c r="AJ26" s="1439">
        <v>0</v>
      </c>
      <c r="AK26" s="1439">
        <v>0</v>
      </c>
      <c r="AL26" s="1439">
        <v>0</v>
      </c>
      <c r="AM26" s="1439">
        <v>0</v>
      </c>
      <c r="AN26" s="1440">
        <v>81.900000000000006</v>
      </c>
      <c r="AO26" s="1463">
        <v>0</v>
      </c>
      <c r="AP26" s="1443">
        <v>0</v>
      </c>
      <c r="AQ26" s="1443">
        <v>0</v>
      </c>
      <c r="AR26" s="1443">
        <v>0</v>
      </c>
      <c r="AS26" s="1443">
        <v>0</v>
      </c>
      <c r="AT26" s="1443">
        <v>0</v>
      </c>
      <c r="AU26" s="1444">
        <f t="shared" si="3"/>
        <v>0</v>
      </c>
      <c r="AV26" s="1456">
        <v>0</v>
      </c>
      <c r="AW26" s="1457">
        <v>0</v>
      </c>
      <c r="AX26" s="1458">
        <v>0</v>
      </c>
      <c r="AY26" s="1459">
        <v>85</v>
      </c>
      <c r="AZ26" s="1460">
        <v>0</v>
      </c>
      <c r="BA26" s="1450">
        <v>416</v>
      </c>
    </row>
    <row r="27" spans="1:53" ht="20.100000000000001" customHeight="1">
      <c r="A27" s="1451">
        <v>15</v>
      </c>
      <c r="B27" s="1452" t="s">
        <v>230</v>
      </c>
      <c r="C27" s="1453">
        <v>0</v>
      </c>
      <c r="D27" s="1454">
        <v>50</v>
      </c>
      <c r="E27" s="1454">
        <v>0</v>
      </c>
      <c r="F27" s="1454">
        <v>0</v>
      </c>
      <c r="G27" s="1454">
        <v>0</v>
      </c>
      <c r="H27" s="1454">
        <v>0</v>
      </c>
      <c r="I27" s="1454">
        <v>0</v>
      </c>
      <c r="J27" s="1455">
        <v>0</v>
      </c>
      <c r="K27" s="1442">
        <v>0</v>
      </c>
      <c r="L27" s="1442">
        <v>50</v>
      </c>
      <c r="M27" s="1442">
        <v>0</v>
      </c>
      <c r="N27" s="1442">
        <v>6</v>
      </c>
      <c r="O27" s="1442">
        <v>0</v>
      </c>
      <c r="P27" s="1442">
        <v>0</v>
      </c>
      <c r="Q27" s="1442">
        <v>0</v>
      </c>
      <c r="R27" s="1442">
        <v>0</v>
      </c>
      <c r="S27" s="1442">
        <f t="shared" si="1"/>
        <v>0</v>
      </c>
      <c r="T27" s="1442">
        <f t="shared" si="0"/>
        <v>100</v>
      </c>
      <c r="U27" s="1442">
        <f t="shared" si="0"/>
        <v>0</v>
      </c>
      <c r="V27" s="1442">
        <f t="shared" si="0"/>
        <v>6</v>
      </c>
      <c r="W27" s="1442">
        <f t="shared" si="0"/>
        <v>0</v>
      </c>
      <c r="X27" s="1442">
        <f t="shared" si="0"/>
        <v>0</v>
      </c>
      <c r="Y27" s="1442">
        <f t="shared" si="0"/>
        <v>0</v>
      </c>
      <c r="Z27" s="1442">
        <f t="shared" si="0"/>
        <v>0</v>
      </c>
      <c r="AA27" s="1436">
        <f t="shared" si="2"/>
        <v>106</v>
      </c>
      <c r="AB27" s="1437">
        <v>1485.8999999999999</v>
      </c>
      <c r="AC27" s="1438">
        <v>0</v>
      </c>
      <c r="AD27" s="1439">
        <v>0</v>
      </c>
      <c r="AE27" s="1439">
        <v>0</v>
      </c>
      <c r="AF27" s="1439">
        <v>0</v>
      </c>
      <c r="AG27" s="1439">
        <v>0</v>
      </c>
      <c r="AH27" s="1439">
        <v>0</v>
      </c>
      <c r="AI27" s="1439">
        <v>0</v>
      </c>
      <c r="AJ27" s="1439">
        <v>0</v>
      </c>
      <c r="AK27" s="1439">
        <v>0</v>
      </c>
      <c r="AL27" s="1439">
        <v>0</v>
      </c>
      <c r="AM27" s="1439">
        <v>0</v>
      </c>
      <c r="AN27" s="1440">
        <v>0</v>
      </c>
      <c r="AO27" s="1463">
        <v>0</v>
      </c>
      <c r="AP27" s="1443">
        <v>0</v>
      </c>
      <c r="AQ27" s="1443">
        <v>0</v>
      </c>
      <c r="AR27" s="1443">
        <v>0</v>
      </c>
      <c r="AS27" s="1443">
        <v>0</v>
      </c>
      <c r="AT27" s="1443">
        <v>0</v>
      </c>
      <c r="AU27" s="1444">
        <f t="shared" si="3"/>
        <v>0</v>
      </c>
      <c r="AV27" s="1456">
        <v>0</v>
      </c>
      <c r="AW27" s="1457">
        <v>0</v>
      </c>
      <c r="AX27" s="1458">
        <v>0</v>
      </c>
      <c r="AY27" s="1459">
        <v>0</v>
      </c>
      <c r="AZ27" s="1460">
        <v>0</v>
      </c>
      <c r="BA27" s="1450">
        <v>1447</v>
      </c>
    </row>
    <row r="28" spans="1:53" ht="24.95" customHeight="1">
      <c r="A28" s="1451">
        <v>16</v>
      </c>
      <c r="B28" s="1452" t="s">
        <v>72</v>
      </c>
      <c r="C28" s="1453">
        <v>20</v>
      </c>
      <c r="D28" s="1454">
        <v>0</v>
      </c>
      <c r="E28" s="1454">
        <v>50</v>
      </c>
      <c r="F28" s="1454">
        <v>27</v>
      </c>
      <c r="G28" s="1454">
        <v>0</v>
      </c>
      <c r="H28" s="1454">
        <v>0</v>
      </c>
      <c r="I28" s="1454">
        <v>0</v>
      </c>
      <c r="J28" s="1455">
        <v>0</v>
      </c>
      <c r="K28" s="1442">
        <v>20</v>
      </c>
      <c r="L28" s="1442">
        <v>0</v>
      </c>
      <c r="M28" s="1442">
        <v>50</v>
      </c>
      <c r="N28" s="1442">
        <v>0</v>
      </c>
      <c r="O28" s="1442">
        <v>0</v>
      </c>
      <c r="P28" s="1442">
        <v>0</v>
      </c>
      <c r="Q28" s="1442">
        <v>0</v>
      </c>
      <c r="R28" s="1442">
        <v>0</v>
      </c>
      <c r="S28" s="1442">
        <f t="shared" si="1"/>
        <v>40</v>
      </c>
      <c r="T28" s="1442">
        <f t="shared" si="0"/>
        <v>0</v>
      </c>
      <c r="U28" s="1442">
        <f t="shared" si="0"/>
        <v>100</v>
      </c>
      <c r="V28" s="1442">
        <f t="shared" si="0"/>
        <v>27</v>
      </c>
      <c r="W28" s="1442">
        <f t="shared" si="0"/>
        <v>0</v>
      </c>
      <c r="X28" s="1442">
        <f t="shared" si="0"/>
        <v>0</v>
      </c>
      <c r="Y28" s="1442">
        <f t="shared" si="0"/>
        <v>0</v>
      </c>
      <c r="Z28" s="1442">
        <f t="shared" si="0"/>
        <v>0</v>
      </c>
      <c r="AA28" s="1436">
        <f t="shared" si="2"/>
        <v>167</v>
      </c>
      <c r="AB28" s="1437">
        <v>2978.7</v>
      </c>
      <c r="AC28" s="1438">
        <v>0</v>
      </c>
      <c r="AD28" s="1439">
        <v>0</v>
      </c>
      <c r="AE28" s="1439">
        <v>192.2</v>
      </c>
      <c r="AF28" s="1439">
        <v>0</v>
      </c>
      <c r="AG28" s="1439">
        <v>0</v>
      </c>
      <c r="AH28" s="1439">
        <v>0</v>
      </c>
      <c r="AI28" s="1439">
        <v>0</v>
      </c>
      <c r="AJ28" s="1439">
        <v>0</v>
      </c>
      <c r="AK28" s="1439">
        <v>0</v>
      </c>
      <c r="AL28" s="1439">
        <v>0</v>
      </c>
      <c r="AM28" s="1439">
        <v>0</v>
      </c>
      <c r="AN28" s="1440">
        <v>192.2</v>
      </c>
      <c r="AO28" s="1463">
        <v>0</v>
      </c>
      <c r="AP28" s="1443">
        <v>0</v>
      </c>
      <c r="AQ28" s="1443">
        <v>0</v>
      </c>
      <c r="AR28" s="1443">
        <v>0</v>
      </c>
      <c r="AS28" s="1443">
        <v>0</v>
      </c>
      <c r="AT28" s="1443">
        <v>0</v>
      </c>
      <c r="AU28" s="1444">
        <f t="shared" si="3"/>
        <v>0</v>
      </c>
      <c r="AV28" s="1456">
        <v>291</v>
      </c>
      <c r="AW28" s="1457">
        <v>0</v>
      </c>
      <c r="AX28" s="1458">
        <v>0</v>
      </c>
      <c r="AY28" s="1459">
        <v>0</v>
      </c>
      <c r="AZ28" s="1460">
        <v>0</v>
      </c>
      <c r="BA28" s="1450">
        <v>2386</v>
      </c>
    </row>
    <row r="29" spans="1:53" ht="20.100000000000001" customHeight="1">
      <c r="A29" s="1451">
        <v>17</v>
      </c>
      <c r="B29" s="1452" t="s">
        <v>73</v>
      </c>
      <c r="C29" s="1453">
        <v>125</v>
      </c>
      <c r="D29" s="1454">
        <v>55</v>
      </c>
      <c r="E29" s="1454">
        <v>0</v>
      </c>
      <c r="F29" s="1454">
        <v>42</v>
      </c>
      <c r="G29" s="1454">
        <v>0</v>
      </c>
      <c r="H29" s="1454">
        <v>0</v>
      </c>
      <c r="I29" s="1454">
        <v>0</v>
      </c>
      <c r="J29" s="1455">
        <v>0</v>
      </c>
      <c r="K29" s="1442">
        <v>148</v>
      </c>
      <c r="L29" s="1442">
        <v>103</v>
      </c>
      <c r="M29" s="1442">
        <v>0</v>
      </c>
      <c r="N29" s="1442">
        <v>0</v>
      </c>
      <c r="O29" s="1442">
        <v>0</v>
      </c>
      <c r="P29" s="1442">
        <v>0</v>
      </c>
      <c r="Q29" s="1442">
        <v>0</v>
      </c>
      <c r="R29" s="1442">
        <v>0</v>
      </c>
      <c r="S29" s="1442">
        <f t="shared" si="1"/>
        <v>273</v>
      </c>
      <c r="T29" s="1442">
        <f t="shared" ref="T29:T31" si="4">D29+L29</f>
        <v>158</v>
      </c>
      <c r="U29" s="1442">
        <f t="shared" ref="U29:U31" si="5">E29+M29</f>
        <v>0</v>
      </c>
      <c r="V29" s="1442">
        <f t="shared" ref="V29:V31" si="6">F29+N29</f>
        <v>42</v>
      </c>
      <c r="W29" s="1442">
        <f t="shared" ref="W29:W31" si="7">G29+O29</f>
        <v>0</v>
      </c>
      <c r="X29" s="1442">
        <f t="shared" ref="X29:X31" si="8">H29+P29</f>
        <v>0</v>
      </c>
      <c r="Y29" s="1442">
        <f t="shared" ref="Y29:Y31" si="9">I29+Q29</f>
        <v>0</v>
      </c>
      <c r="Z29" s="1442">
        <f t="shared" ref="Z29:Z31" si="10">J29+R29</f>
        <v>0</v>
      </c>
      <c r="AA29" s="1436">
        <f t="shared" si="2"/>
        <v>473</v>
      </c>
      <c r="AB29" s="1437">
        <v>4973</v>
      </c>
      <c r="AC29" s="1438">
        <v>0</v>
      </c>
      <c r="AD29" s="1439">
        <v>0</v>
      </c>
      <c r="AE29" s="1439">
        <v>0</v>
      </c>
      <c r="AF29" s="1439">
        <v>0</v>
      </c>
      <c r="AG29" s="1439">
        <v>150.19999999999999</v>
      </c>
      <c r="AH29" s="1439">
        <v>0</v>
      </c>
      <c r="AI29" s="1439">
        <v>0</v>
      </c>
      <c r="AJ29" s="1439">
        <v>0</v>
      </c>
      <c r="AK29" s="1439">
        <v>0</v>
      </c>
      <c r="AL29" s="1439">
        <v>0</v>
      </c>
      <c r="AM29" s="1439">
        <v>0</v>
      </c>
      <c r="AN29" s="1440">
        <v>150.19999999999999</v>
      </c>
      <c r="AO29" s="1463">
        <v>0</v>
      </c>
      <c r="AP29" s="1443">
        <v>0</v>
      </c>
      <c r="AQ29" s="1443">
        <v>0</v>
      </c>
      <c r="AR29" s="1443">
        <v>0</v>
      </c>
      <c r="AS29" s="1443">
        <v>0</v>
      </c>
      <c r="AT29" s="1442">
        <v>945</v>
      </c>
      <c r="AU29" s="1444">
        <f t="shared" si="3"/>
        <v>945</v>
      </c>
      <c r="AV29" s="1456">
        <v>0</v>
      </c>
      <c r="AW29" s="1457">
        <v>0</v>
      </c>
      <c r="AX29" s="1458">
        <v>151</v>
      </c>
      <c r="AY29" s="1459">
        <v>0</v>
      </c>
      <c r="AZ29" s="1460">
        <v>945</v>
      </c>
      <c r="BA29" s="1450">
        <v>4419</v>
      </c>
    </row>
    <row r="30" spans="1:53" ht="20.100000000000001" customHeight="1">
      <c r="A30" s="1451">
        <v>18</v>
      </c>
      <c r="B30" s="1452" t="s">
        <v>74</v>
      </c>
      <c r="C30" s="1453">
        <v>40</v>
      </c>
      <c r="D30" s="1454">
        <v>62</v>
      </c>
      <c r="E30" s="1454">
        <v>25</v>
      </c>
      <c r="F30" s="1454">
        <v>85</v>
      </c>
      <c r="G30" s="1454">
        <v>0</v>
      </c>
      <c r="H30" s="1454">
        <v>0</v>
      </c>
      <c r="I30" s="1454">
        <v>0</v>
      </c>
      <c r="J30" s="1455">
        <v>0</v>
      </c>
      <c r="K30" s="1442">
        <v>53</v>
      </c>
      <c r="L30" s="1442">
        <v>80</v>
      </c>
      <c r="M30" s="1442">
        <v>25</v>
      </c>
      <c r="N30" s="1442">
        <v>0</v>
      </c>
      <c r="O30" s="1442">
        <v>0</v>
      </c>
      <c r="P30" s="1442">
        <v>0</v>
      </c>
      <c r="Q30" s="1442">
        <v>0</v>
      </c>
      <c r="R30" s="1442">
        <v>0</v>
      </c>
      <c r="S30" s="1442">
        <f t="shared" si="1"/>
        <v>93</v>
      </c>
      <c r="T30" s="1442">
        <f t="shared" si="4"/>
        <v>142</v>
      </c>
      <c r="U30" s="1442">
        <f t="shared" si="5"/>
        <v>50</v>
      </c>
      <c r="V30" s="1442">
        <f t="shared" si="6"/>
        <v>85</v>
      </c>
      <c r="W30" s="1442">
        <f t="shared" si="7"/>
        <v>0</v>
      </c>
      <c r="X30" s="1442">
        <f t="shared" si="8"/>
        <v>0</v>
      </c>
      <c r="Y30" s="1442">
        <f t="shared" si="9"/>
        <v>0</v>
      </c>
      <c r="Z30" s="1442">
        <f t="shared" si="10"/>
        <v>0</v>
      </c>
      <c r="AA30" s="1436">
        <f t="shared" si="2"/>
        <v>370</v>
      </c>
      <c r="AB30" s="1437">
        <v>10920.7</v>
      </c>
      <c r="AC30" s="1438">
        <v>0</v>
      </c>
      <c r="AD30" s="1439">
        <v>0</v>
      </c>
      <c r="AE30" s="1439">
        <v>0</v>
      </c>
      <c r="AF30" s="1439">
        <v>0</v>
      </c>
      <c r="AG30" s="1439">
        <v>531.20000000000005</v>
      </c>
      <c r="AH30" s="1439">
        <v>0</v>
      </c>
      <c r="AI30" s="1439">
        <v>0</v>
      </c>
      <c r="AJ30" s="1439">
        <v>0</v>
      </c>
      <c r="AK30" s="1439">
        <v>133</v>
      </c>
      <c r="AL30" s="1439">
        <v>334</v>
      </c>
      <c r="AM30" s="1439">
        <v>0</v>
      </c>
      <c r="AN30" s="1440">
        <v>998.2</v>
      </c>
      <c r="AO30" s="1463">
        <v>0</v>
      </c>
      <c r="AP30" s="1443">
        <v>0</v>
      </c>
      <c r="AQ30" s="1443">
        <v>0</v>
      </c>
      <c r="AR30" s="1442">
        <v>171</v>
      </c>
      <c r="AS30" s="1442">
        <v>113</v>
      </c>
      <c r="AT30" s="1443">
        <v>0</v>
      </c>
      <c r="AU30" s="1444">
        <f t="shared" si="3"/>
        <v>284</v>
      </c>
      <c r="AV30" s="1456">
        <v>0</v>
      </c>
      <c r="AW30" s="1457">
        <v>0</v>
      </c>
      <c r="AX30" s="1458">
        <v>840</v>
      </c>
      <c r="AY30" s="1459">
        <v>460</v>
      </c>
      <c r="AZ30" s="1460">
        <v>0</v>
      </c>
      <c r="BA30" s="1450">
        <v>9913</v>
      </c>
    </row>
    <row r="31" spans="1:53" ht="20.100000000000001" customHeight="1">
      <c r="A31" s="1451">
        <v>19</v>
      </c>
      <c r="B31" s="1452" t="s">
        <v>78</v>
      </c>
      <c r="C31" s="1453">
        <v>0</v>
      </c>
      <c r="D31" s="1454">
        <v>200</v>
      </c>
      <c r="E31" s="1454">
        <v>0</v>
      </c>
      <c r="F31" s="1454">
        <v>25</v>
      </c>
      <c r="G31" s="1454">
        <v>110</v>
      </c>
      <c r="H31" s="1454">
        <v>0</v>
      </c>
      <c r="I31" s="1454">
        <v>60</v>
      </c>
      <c r="J31" s="1455">
        <v>0</v>
      </c>
      <c r="K31" s="1442">
        <v>0</v>
      </c>
      <c r="L31" s="1442">
        <v>200</v>
      </c>
      <c r="M31" s="1442">
        <v>0</v>
      </c>
      <c r="N31" s="1442">
        <v>0</v>
      </c>
      <c r="O31" s="1442">
        <v>0</v>
      </c>
      <c r="P31" s="1442">
        <v>0</v>
      </c>
      <c r="Q31" s="1442">
        <v>30</v>
      </c>
      <c r="R31" s="1442">
        <v>0</v>
      </c>
      <c r="S31" s="1442">
        <f t="shared" si="1"/>
        <v>0</v>
      </c>
      <c r="T31" s="1442">
        <f t="shared" si="4"/>
        <v>400</v>
      </c>
      <c r="U31" s="1442">
        <f t="shared" si="5"/>
        <v>0</v>
      </c>
      <c r="V31" s="1442">
        <f t="shared" si="6"/>
        <v>25</v>
      </c>
      <c r="W31" s="1442">
        <f t="shared" si="7"/>
        <v>110</v>
      </c>
      <c r="X31" s="1442">
        <f t="shared" si="8"/>
        <v>0</v>
      </c>
      <c r="Y31" s="1442">
        <f t="shared" si="9"/>
        <v>90</v>
      </c>
      <c r="Z31" s="1442">
        <f t="shared" si="10"/>
        <v>0</v>
      </c>
      <c r="AA31" s="1436">
        <f t="shared" si="2"/>
        <v>625</v>
      </c>
      <c r="AB31" s="1437">
        <v>7910.3000000000011</v>
      </c>
      <c r="AC31" s="1438">
        <v>0</v>
      </c>
      <c r="AD31" s="1439">
        <v>0</v>
      </c>
      <c r="AE31" s="1439">
        <v>0</v>
      </c>
      <c r="AF31" s="1439">
        <v>0</v>
      </c>
      <c r="AG31" s="1439">
        <v>279.5</v>
      </c>
      <c r="AH31" s="1439">
        <v>0</v>
      </c>
      <c r="AI31" s="1439">
        <v>0</v>
      </c>
      <c r="AJ31" s="1439">
        <v>0</v>
      </c>
      <c r="AK31" s="1439">
        <v>34</v>
      </c>
      <c r="AL31" s="1439">
        <v>51</v>
      </c>
      <c r="AM31" s="1439">
        <v>0</v>
      </c>
      <c r="AN31" s="1440">
        <v>364.5</v>
      </c>
      <c r="AO31" s="1463">
        <v>0</v>
      </c>
      <c r="AP31" s="1443">
        <v>0</v>
      </c>
      <c r="AQ31" s="1443">
        <v>0</v>
      </c>
      <c r="AR31" s="1442">
        <v>50</v>
      </c>
      <c r="AS31" s="1442">
        <v>21</v>
      </c>
      <c r="AT31" s="1442">
        <v>2163</v>
      </c>
      <c r="AU31" s="1444">
        <f t="shared" si="3"/>
        <v>2234</v>
      </c>
      <c r="AV31" s="1456">
        <v>0</v>
      </c>
      <c r="AW31" s="1457">
        <v>0</v>
      </c>
      <c r="AX31" s="1458">
        <v>364</v>
      </c>
      <c r="AY31" s="1459">
        <v>72</v>
      </c>
      <c r="AZ31" s="1460">
        <v>2163</v>
      </c>
      <c r="BA31" s="1450">
        <v>7556</v>
      </c>
    </row>
    <row r="32" spans="1:53" ht="30" customHeight="1" thickBot="1">
      <c r="A32" s="1465"/>
      <c r="B32" s="1466" t="s">
        <v>2</v>
      </c>
      <c r="C32" s="1467">
        <f>SUM(C13:C31)</f>
        <v>610.70000000000005</v>
      </c>
      <c r="D32" s="1468">
        <f t="shared" ref="D32:G32" si="11">SUM(D13:D31)</f>
        <v>996</v>
      </c>
      <c r="E32" s="1468">
        <f t="shared" si="11"/>
        <v>342</v>
      </c>
      <c r="F32" s="1468">
        <f t="shared" si="11"/>
        <v>815</v>
      </c>
      <c r="G32" s="1468">
        <f t="shared" si="11"/>
        <v>164.8</v>
      </c>
      <c r="H32" s="1468">
        <f t="shared" ref="H32" si="12">SUM(H13:H31)</f>
        <v>80</v>
      </c>
      <c r="I32" s="1468">
        <f t="shared" ref="I32" si="13">SUM(I13:I31)</f>
        <v>60</v>
      </c>
      <c r="J32" s="1469">
        <f t="shared" ref="J32" si="14">SUM(J13:J31)</f>
        <v>24</v>
      </c>
      <c r="K32" s="1469">
        <f t="shared" ref="K32" si="15">SUM(K13:K31)</f>
        <v>730</v>
      </c>
      <c r="L32" s="1469">
        <f t="shared" ref="L32" si="16">SUM(L13:L31)</f>
        <v>1089</v>
      </c>
      <c r="M32" s="1469">
        <f t="shared" ref="M32" si="17">SUM(M13:M31)</f>
        <v>342</v>
      </c>
      <c r="N32" s="1469">
        <f t="shared" ref="N32" si="18">SUM(N13:N31)</f>
        <v>37</v>
      </c>
      <c r="O32" s="1469">
        <f t="shared" ref="O32" si="19">SUM(O13:O31)</f>
        <v>15</v>
      </c>
      <c r="P32" s="1469">
        <f t="shared" ref="P32" si="20">SUM(P13:P31)</f>
        <v>60</v>
      </c>
      <c r="Q32" s="1469">
        <f t="shared" ref="Q32" si="21">SUM(Q13:Q31)</f>
        <v>30</v>
      </c>
      <c r="R32" s="1469">
        <f t="shared" ref="R32" si="22">SUM(R13:R31)</f>
        <v>12</v>
      </c>
      <c r="S32" s="1469">
        <f t="shared" ref="S32" si="23">SUM(S13:S31)</f>
        <v>1340.7</v>
      </c>
      <c r="T32" s="1469">
        <f t="shared" ref="T32" si="24">SUM(T13:T31)</f>
        <v>2085</v>
      </c>
      <c r="U32" s="1469">
        <f t="shared" ref="U32" si="25">SUM(U13:U31)</f>
        <v>684</v>
      </c>
      <c r="V32" s="1469">
        <f t="shared" ref="V32" si="26">SUM(V13:V31)</f>
        <v>852</v>
      </c>
      <c r="W32" s="1469">
        <f t="shared" ref="W32" si="27">SUM(W13:W31)</f>
        <v>179.8</v>
      </c>
      <c r="X32" s="1469">
        <f t="shared" ref="X32" si="28">SUM(X13:X31)</f>
        <v>140</v>
      </c>
      <c r="Y32" s="1469">
        <f t="shared" ref="Y32" si="29">SUM(Y13:Y31)</f>
        <v>90</v>
      </c>
      <c r="Z32" s="1468">
        <f t="shared" ref="Z32:AA32" si="30">SUM(Z13:Z31)</f>
        <v>36</v>
      </c>
      <c r="AA32" s="1468">
        <f t="shared" si="30"/>
        <v>5407.5</v>
      </c>
      <c r="AB32" s="1470">
        <f>SUM(AB13:AB31)</f>
        <v>107815</v>
      </c>
      <c r="AC32" s="1467">
        <f t="shared" ref="AC32" si="31">SUM(AC13:AC31)</f>
        <v>1941.2</v>
      </c>
      <c r="AD32" s="1468">
        <f t="shared" ref="AD32" si="32">SUM(AD13:AD31)</f>
        <v>483.4</v>
      </c>
      <c r="AE32" s="1468">
        <f t="shared" ref="AE32" si="33">SUM(AE13:AE31)</f>
        <v>1111.8</v>
      </c>
      <c r="AF32" s="1468">
        <f t="shared" ref="AF32" si="34">SUM(AF13:AF31)</f>
        <v>84.6</v>
      </c>
      <c r="AG32" s="1468">
        <f t="shared" ref="AG32" si="35">SUM(AG13:AG31)</f>
        <v>2470.1000000000004</v>
      </c>
      <c r="AH32" s="1468">
        <f t="shared" ref="AH32" si="36">SUM(AH13:AH31)</f>
        <v>151.30000000000001</v>
      </c>
      <c r="AI32" s="1468">
        <f t="shared" ref="AI32" si="37">SUM(AI13:AI31)</f>
        <v>360.3</v>
      </c>
      <c r="AJ32" s="1468">
        <f t="shared" ref="AJ32" si="38">SUM(AJ13:AJ31)</f>
        <v>98.6</v>
      </c>
      <c r="AK32" s="1468">
        <f t="shared" ref="AK32" si="39">SUM(AK13:AK31)</f>
        <v>392</v>
      </c>
      <c r="AL32" s="1468">
        <f t="shared" ref="AL32" si="40">SUM(AL13:AL31)</f>
        <v>769.3</v>
      </c>
      <c r="AM32" s="1468">
        <f t="shared" ref="AM32" si="41">SUM(AM13:AM31)</f>
        <v>244</v>
      </c>
      <c r="AN32" s="1469">
        <f t="shared" ref="AN32" si="42">SUM(AN13:AN31)</f>
        <v>8106.5999999999995</v>
      </c>
      <c r="AO32" s="1467">
        <f t="shared" ref="AO32" si="43">SUM(AO13:AO31)</f>
        <v>165</v>
      </c>
      <c r="AP32" s="1468">
        <f t="shared" ref="AP32" si="44">SUM(AP13:AP31)</f>
        <v>94.000000000000028</v>
      </c>
      <c r="AQ32" s="1468">
        <f t="shared" ref="AQ32" si="45">SUM(AQ13:AQ31)</f>
        <v>10</v>
      </c>
      <c r="AR32" s="1468">
        <f t="shared" ref="AR32" si="46">SUM(AR13:AR31)</f>
        <v>620</v>
      </c>
      <c r="AS32" s="1468">
        <f t="shared" ref="AS32" si="47">SUM(AS13:AS31)</f>
        <v>250</v>
      </c>
      <c r="AT32" s="1468">
        <f t="shared" ref="AT32" si="48">SUM(AT13:AT31)</f>
        <v>7862</v>
      </c>
      <c r="AU32" s="1471">
        <f t="shared" ref="AU32" si="49">SUM(AU13:AU31)</f>
        <v>9001</v>
      </c>
      <c r="AV32" s="1472">
        <f>SUM(AV13:AV31)</f>
        <v>3929</v>
      </c>
      <c r="AW32" s="1473">
        <f t="shared" ref="AW32:BA32" si="50">SUM(AW13:AW31)</f>
        <v>754</v>
      </c>
      <c r="AX32" s="1473">
        <f t="shared" si="50"/>
        <v>3549</v>
      </c>
      <c r="AY32" s="1473">
        <f t="shared" si="50"/>
        <v>1693</v>
      </c>
      <c r="AZ32" s="1474">
        <f t="shared" si="50"/>
        <v>8106</v>
      </c>
      <c r="BA32" s="1475">
        <f t="shared" si="50"/>
        <v>92619</v>
      </c>
    </row>
    <row r="33" spans="1:53" s="1476" customFormat="1" ht="24.95" customHeight="1">
      <c r="B33" s="1477" t="s">
        <v>126</v>
      </c>
      <c r="C33" s="637">
        <v>610.69999999999993</v>
      </c>
      <c r="D33" s="1478">
        <v>996</v>
      </c>
      <c r="E33" s="1479">
        <v>342</v>
      </c>
      <c r="F33" s="1479">
        <v>815</v>
      </c>
      <c r="G33" s="1480">
        <v>164.8</v>
      </c>
      <c r="H33" s="1480">
        <v>80</v>
      </c>
      <c r="I33" s="1480">
        <v>60</v>
      </c>
      <c r="J33" s="1480">
        <v>24</v>
      </c>
      <c r="K33" s="1481">
        <v>730</v>
      </c>
      <c r="L33" s="1481">
        <v>1089</v>
      </c>
      <c r="M33" s="1481">
        <v>342</v>
      </c>
      <c r="N33" s="1481">
        <v>37</v>
      </c>
      <c r="O33" s="1481">
        <v>15</v>
      </c>
      <c r="P33" s="1481">
        <v>60</v>
      </c>
      <c r="Q33" s="1481">
        <v>30</v>
      </c>
      <c r="R33" s="1481">
        <v>12</v>
      </c>
      <c r="S33" s="1481">
        <f t="shared" si="1"/>
        <v>1340.6999999999998</v>
      </c>
      <c r="T33" s="1481">
        <f t="shared" ref="T33" si="51">D33+L33</f>
        <v>2085</v>
      </c>
      <c r="U33" s="1481">
        <f t="shared" ref="U33" si="52">E33+M33</f>
        <v>684</v>
      </c>
      <c r="V33" s="1481">
        <f t="shared" ref="V33" si="53">F33+N33</f>
        <v>852</v>
      </c>
      <c r="W33" s="1481">
        <f t="shared" ref="W33" si="54">G33+O33</f>
        <v>179.8</v>
      </c>
      <c r="X33" s="1481">
        <f t="shared" ref="X33" si="55">H33+P33</f>
        <v>140</v>
      </c>
      <c r="Y33" s="1481">
        <f t="shared" ref="Y33" si="56">I33+Q33</f>
        <v>90</v>
      </c>
      <c r="Z33" s="1481">
        <f t="shared" ref="Z33" si="57">J33+R33</f>
        <v>36</v>
      </c>
      <c r="AA33" s="1478">
        <f>SUM(S33:Z33)</f>
        <v>5407.5</v>
      </c>
      <c r="AB33" s="1481">
        <v>107815</v>
      </c>
      <c r="AC33" s="1482">
        <v>1941.2</v>
      </c>
      <c r="AD33" s="1482">
        <v>483.4</v>
      </c>
      <c r="AE33" s="1482">
        <v>1111.8</v>
      </c>
      <c r="AF33" s="1482">
        <v>84.6</v>
      </c>
      <c r="AG33" s="1482">
        <v>2470.1000000000004</v>
      </c>
      <c r="AH33" s="1482">
        <v>151.30000000000001</v>
      </c>
      <c r="AI33" s="1482">
        <v>360.3</v>
      </c>
      <c r="AJ33" s="1482">
        <v>98.6</v>
      </c>
      <c r="AK33" s="1482">
        <v>392</v>
      </c>
      <c r="AL33" s="1482">
        <v>769.3</v>
      </c>
      <c r="AM33" s="1482">
        <v>244</v>
      </c>
      <c r="AN33" s="1481">
        <v>8106.5999999999995</v>
      </c>
      <c r="AO33" s="1483">
        <v>165</v>
      </c>
      <c r="AP33" s="1483">
        <v>94.000000000000028</v>
      </c>
      <c r="AQ33" s="1483">
        <v>10</v>
      </c>
      <c r="AR33" s="1483">
        <v>620</v>
      </c>
      <c r="AS33" s="1483">
        <v>250</v>
      </c>
      <c r="AT33" s="1483">
        <v>7862</v>
      </c>
      <c r="AU33" s="1478">
        <f>SUM(AO33:AT33)</f>
        <v>9001</v>
      </c>
      <c r="AV33" s="1484">
        <v>3929</v>
      </c>
      <c r="AW33" s="1484">
        <v>754</v>
      </c>
      <c r="AX33" s="1484">
        <v>3549</v>
      </c>
      <c r="AY33" s="1484">
        <v>1693</v>
      </c>
      <c r="AZ33" s="1485">
        <v>8106</v>
      </c>
      <c r="BA33" s="1486">
        <v>92619</v>
      </c>
    </row>
    <row r="34" spans="1:53">
      <c r="AM34" s="1487"/>
    </row>
    <row r="35" spans="1:53" ht="20.100000000000001" customHeight="1">
      <c r="A35" s="1" t="s">
        <v>148</v>
      </c>
      <c r="C35" s="638"/>
      <c r="D35" s="1488"/>
      <c r="E35" s="1489"/>
      <c r="F35" s="1489"/>
      <c r="G35" s="1489"/>
      <c r="H35" s="1489"/>
      <c r="I35" s="1489"/>
      <c r="J35" s="1489"/>
      <c r="K35" s="1489"/>
      <c r="L35" s="1489"/>
      <c r="M35" s="1489"/>
      <c r="N35" s="1489"/>
      <c r="O35" s="1490"/>
      <c r="P35" s="2"/>
      <c r="Q35" s="2"/>
      <c r="R35" s="2"/>
      <c r="S35" s="2"/>
      <c r="T35" s="2"/>
      <c r="U35" s="3"/>
      <c r="V35" s="3"/>
      <c r="W35" s="3"/>
      <c r="X35" s="1491"/>
      <c r="Y35" s="1491"/>
      <c r="Z35" s="1491"/>
      <c r="AA35" s="1491"/>
      <c r="AB35" s="1491"/>
      <c r="AC35" s="1491"/>
      <c r="AD35" s="1491"/>
      <c r="AE35" s="1491"/>
      <c r="AF35" s="1491"/>
    </row>
    <row r="36" spans="1:53">
      <c r="B36" s="4"/>
      <c r="C36" s="2"/>
      <c r="D36" s="5"/>
      <c r="E36" s="5"/>
      <c r="F36" s="5"/>
      <c r="G36" s="2"/>
      <c r="H36" s="2"/>
      <c r="I36" s="5"/>
      <c r="J36" s="5"/>
      <c r="K36" s="5"/>
      <c r="L36" s="6"/>
      <c r="M36" s="2"/>
      <c r="N36" s="2"/>
      <c r="O36" s="1490"/>
      <c r="P36" s="2"/>
      <c r="Q36" s="2"/>
      <c r="R36" s="2"/>
      <c r="S36" s="2"/>
      <c r="T36" s="2"/>
      <c r="U36" s="1492"/>
      <c r="V36" s="1492"/>
      <c r="W36" s="1492"/>
      <c r="X36" s="1492"/>
      <c r="Y36" s="1492"/>
      <c r="Z36" s="1492"/>
      <c r="AA36" s="1492"/>
      <c r="AB36" s="1492"/>
      <c r="AC36" s="1492"/>
      <c r="AD36" s="1492"/>
      <c r="AE36" s="1492"/>
      <c r="AF36" s="1492"/>
    </row>
    <row r="37" spans="1:53">
      <c r="A37" s="1383" t="s">
        <v>153</v>
      </c>
      <c r="B37" s="4"/>
      <c r="C37" s="2"/>
      <c r="E37" s="5"/>
      <c r="F37" s="5"/>
      <c r="G37" s="2"/>
      <c r="H37" s="2"/>
      <c r="I37" s="5"/>
      <c r="J37" s="5"/>
      <c r="K37" s="5"/>
      <c r="L37" s="6"/>
      <c r="M37" s="2"/>
      <c r="N37" s="2"/>
      <c r="O37" s="1490"/>
      <c r="P37" s="2"/>
      <c r="Q37" s="2"/>
      <c r="R37" s="2"/>
      <c r="S37" s="2"/>
      <c r="T37" s="2"/>
      <c r="U37" s="5"/>
      <c r="V37" s="5"/>
      <c r="W37" s="5"/>
    </row>
    <row r="38" spans="1:53" ht="20.100000000000001" customHeight="1">
      <c r="A38" s="1384">
        <v>1</v>
      </c>
      <c r="B38" s="7">
        <v>2</v>
      </c>
      <c r="C38" s="1384">
        <v>3</v>
      </c>
      <c r="D38" s="7">
        <v>4</v>
      </c>
      <c r="E38" s="1384">
        <v>5</v>
      </c>
      <c r="F38" s="7">
        <v>6</v>
      </c>
      <c r="G38" s="1384">
        <v>7</v>
      </c>
      <c r="H38" s="7">
        <v>8</v>
      </c>
      <c r="I38" s="1384">
        <v>9</v>
      </c>
      <c r="J38" s="7">
        <v>10</v>
      </c>
      <c r="K38" s="1384">
        <v>11</v>
      </c>
      <c r="L38" s="7">
        <v>12</v>
      </c>
      <c r="M38" s="1384">
        <v>13</v>
      </c>
      <c r="N38" s="7">
        <v>14</v>
      </c>
      <c r="O38" s="1384">
        <v>15</v>
      </c>
      <c r="P38" s="7">
        <v>16</v>
      </c>
      <c r="Q38" s="2"/>
      <c r="R38" s="2"/>
      <c r="S38" s="2"/>
      <c r="T38" s="2"/>
      <c r="U38" s="5"/>
      <c r="V38" s="5"/>
      <c r="W38" s="5"/>
    </row>
    <row r="39" spans="1:53" ht="15.75" thickBot="1">
      <c r="B39" s="4"/>
      <c r="C39" s="2"/>
      <c r="D39" s="5"/>
      <c r="E39" s="5"/>
      <c r="F39" s="5"/>
      <c r="G39" s="2"/>
      <c r="H39" s="2"/>
      <c r="K39" s="5"/>
      <c r="L39" s="6"/>
      <c r="M39" s="2"/>
      <c r="N39" s="2"/>
      <c r="O39" s="5"/>
      <c r="P39" s="5"/>
      <c r="Q39" s="2"/>
      <c r="R39" s="2"/>
      <c r="S39" s="2"/>
      <c r="T39" s="2"/>
      <c r="U39" s="5"/>
      <c r="V39" s="5"/>
      <c r="W39" s="5"/>
    </row>
    <row r="40" spans="1:53" ht="60" customHeight="1">
      <c r="A40" s="1385"/>
      <c r="B40" s="1493"/>
      <c r="C40" s="1795" t="s">
        <v>197</v>
      </c>
      <c r="D40" s="1796"/>
      <c r="E40" s="1796"/>
      <c r="F40" s="1796"/>
      <c r="G40" s="1796"/>
      <c r="H40" s="1796"/>
      <c r="I40" s="1796"/>
      <c r="J40" s="1796"/>
      <c r="K40" s="1796"/>
      <c r="L40" s="1796"/>
      <c r="M40" s="1796"/>
      <c r="N40" s="1797"/>
      <c r="O40" s="1773" t="s">
        <v>272</v>
      </c>
      <c r="P40" s="1774"/>
      <c r="Q40" s="2"/>
      <c r="R40" s="2"/>
      <c r="S40" s="2"/>
      <c r="T40" s="2"/>
      <c r="U40" s="5"/>
      <c r="V40" s="5"/>
      <c r="W40" s="5"/>
    </row>
    <row r="41" spans="1:53" ht="30" customHeight="1">
      <c r="A41" s="1494"/>
      <c r="B41" s="1495"/>
      <c r="C41" s="8" t="s">
        <v>198</v>
      </c>
      <c r="D41" s="8" t="s">
        <v>199</v>
      </c>
      <c r="E41" s="8" t="s">
        <v>200</v>
      </c>
      <c r="F41" s="1048" t="s">
        <v>353</v>
      </c>
      <c r="G41" s="9">
        <v>3</v>
      </c>
      <c r="H41" s="9" t="s">
        <v>312</v>
      </c>
      <c r="I41" s="9" t="s">
        <v>313</v>
      </c>
      <c r="J41" s="10" t="s">
        <v>256</v>
      </c>
      <c r="K41" s="10" t="s">
        <v>257</v>
      </c>
      <c r="L41" s="10" t="s">
        <v>258</v>
      </c>
      <c r="M41" s="10" t="s">
        <v>259</v>
      </c>
      <c r="N41" s="10" t="s">
        <v>260</v>
      </c>
      <c r="O41" s="11" t="s">
        <v>62</v>
      </c>
      <c r="P41" s="12" t="s">
        <v>48</v>
      </c>
      <c r="Q41" s="2"/>
      <c r="R41" s="2"/>
      <c r="S41" s="2"/>
      <c r="T41" s="2"/>
      <c r="U41" s="5"/>
      <c r="V41" s="5"/>
      <c r="W41" s="5"/>
    </row>
    <row r="42" spans="1:53" ht="20.100000000000001" customHeight="1">
      <c r="A42" s="1451">
        <v>1</v>
      </c>
      <c r="B42" s="1496" t="s">
        <v>63</v>
      </c>
      <c r="C42" s="13">
        <v>1</v>
      </c>
      <c r="D42" s="13">
        <v>1</v>
      </c>
      <c r="E42" s="13">
        <v>0</v>
      </c>
      <c r="F42" s="1497">
        <f t="shared" ref="F42:F60" si="58">IF($AL13&gt;0,1,0)</f>
        <v>1</v>
      </c>
      <c r="G42" s="13">
        <v>2</v>
      </c>
      <c r="H42" s="13">
        <v>0</v>
      </c>
      <c r="I42" s="13">
        <v>0</v>
      </c>
      <c r="J42" s="1497">
        <f t="shared" ref="J42:J60" si="59">IF($S13&gt;0,1,0)</f>
        <v>1</v>
      </c>
      <c r="K42" s="1497">
        <f t="shared" ref="K42:K60" si="60">IF($T13&gt;0,1,0)</f>
        <v>1</v>
      </c>
      <c r="L42" s="1497">
        <f t="shared" ref="L42:L60" si="61">IF($U13&gt;0,1,0)</f>
        <v>1</v>
      </c>
      <c r="M42" s="1497">
        <f t="shared" ref="M42:M60" si="62">IF($V13&gt;0,1,0)</f>
        <v>1</v>
      </c>
      <c r="N42" s="1497">
        <f t="shared" ref="N42:N60" si="63">IF(SUM($W13:$Z13)&gt;0,1,0)</f>
        <v>0</v>
      </c>
      <c r="O42" s="14">
        <v>3</v>
      </c>
      <c r="P42" s="15">
        <v>4</v>
      </c>
      <c r="Q42" s="2"/>
      <c r="R42" s="2"/>
      <c r="S42" s="2"/>
      <c r="T42" s="2"/>
      <c r="U42" s="5"/>
      <c r="V42" s="5"/>
      <c r="W42" s="5"/>
    </row>
    <row r="43" spans="1:53" ht="20.100000000000001" customHeight="1">
      <c r="A43" s="1451">
        <v>2</v>
      </c>
      <c r="B43" s="1496" t="s">
        <v>64</v>
      </c>
      <c r="C43" s="13">
        <v>0</v>
      </c>
      <c r="D43" s="13">
        <v>0</v>
      </c>
      <c r="E43" s="13">
        <v>0</v>
      </c>
      <c r="F43" s="1498">
        <f t="shared" si="58"/>
        <v>0</v>
      </c>
      <c r="G43" s="13">
        <v>0</v>
      </c>
      <c r="H43" s="13">
        <v>0</v>
      </c>
      <c r="I43" s="13">
        <v>1</v>
      </c>
      <c r="J43" s="1498">
        <f t="shared" si="59"/>
        <v>0</v>
      </c>
      <c r="K43" s="1498">
        <f t="shared" si="60"/>
        <v>1</v>
      </c>
      <c r="L43" s="1498">
        <f t="shared" si="61"/>
        <v>1</v>
      </c>
      <c r="M43" s="1498">
        <f t="shared" si="62"/>
        <v>1</v>
      </c>
      <c r="N43" s="1498">
        <f t="shared" si="63"/>
        <v>0</v>
      </c>
      <c r="O43" s="14">
        <v>5</v>
      </c>
      <c r="P43" s="15">
        <v>6</v>
      </c>
      <c r="Q43" s="2"/>
      <c r="R43" s="2"/>
      <c r="S43" s="2"/>
      <c r="T43" s="2"/>
      <c r="U43" s="5"/>
      <c r="V43" s="5"/>
      <c r="W43" s="5"/>
    </row>
    <row r="44" spans="1:53" ht="20.100000000000001" customHeight="1">
      <c r="A44" s="1451">
        <v>3</v>
      </c>
      <c r="B44" s="1496" t="s">
        <v>65</v>
      </c>
      <c r="C44" s="13">
        <v>1</v>
      </c>
      <c r="D44" s="13">
        <v>1</v>
      </c>
      <c r="E44" s="13">
        <v>0</v>
      </c>
      <c r="F44" s="1498">
        <f t="shared" si="58"/>
        <v>1</v>
      </c>
      <c r="G44" s="13">
        <v>1</v>
      </c>
      <c r="H44" s="13">
        <v>1</v>
      </c>
      <c r="I44" s="13">
        <v>0</v>
      </c>
      <c r="J44" s="1498">
        <f t="shared" si="59"/>
        <v>1</v>
      </c>
      <c r="K44" s="1498">
        <f t="shared" si="60"/>
        <v>1</v>
      </c>
      <c r="L44" s="1498">
        <f t="shared" si="61"/>
        <v>1</v>
      </c>
      <c r="M44" s="1498">
        <f t="shared" si="62"/>
        <v>1</v>
      </c>
      <c r="N44" s="1498">
        <f t="shared" si="63"/>
        <v>0</v>
      </c>
      <c r="O44" s="14">
        <v>7</v>
      </c>
      <c r="P44" s="15">
        <v>8</v>
      </c>
      <c r="Q44" s="2"/>
      <c r="R44" s="2"/>
      <c r="S44" s="2"/>
      <c r="T44" s="2"/>
      <c r="U44" s="5"/>
      <c r="V44" s="5"/>
      <c r="W44" s="5"/>
    </row>
    <row r="45" spans="1:53" ht="20.100000000000001" customHeight="1">
      <c r="A45" s="1451">
        <v>4</v>
      </c>
      <c r="B45" s="1496" t="s">
        <v>82</v>
      </c>
      <c r="C45" s="13">
        <v>0</v>
      </c>
      <c r="D45" s="13">
        <v>0</v>
      </c>
      <c r="E45" s="13">
        <v>0</v>
      </c>
      <c r="F45" s="1498">
        <f t="shared" si="58"/>
        <v>0</v>
      </c>
      <c r="G45" s="13">
        <v>0</v>
      </c>
      <c r="H45" s="13">
        <v>1</v>
      </c>
      <c r="I45" s="13">
        <v>0</v>
      </c>
      <c r="J45" s="1498">
        <f t="shared" si="59"/>
        <v>0</v>
      </c>
      <c r="K45" s="1498">
        <f t="shared" si="60"/>
        <v>1</v>
      </c>
      <c r="L45" s="1498">
        <f t="shared" si="61"/>
        <v>0</v>
      </c>
      <c r="M45" s="1498">
        <f t="shared" si="62"/>
        <v>1</v>
      </c>
      <c r="N45" s="1498">
        <f t="shared" si="63"/>
        <v>0</v>
      </c>
      <c r="O45" s="14">
        <v>9</v>
      </c>
      <c r="P45" s="15">
        <v>10</v>
      </c>
      <c r="Q45" s="2"/>
      <c r="R45" s="2"/>
      <c r="S45" s="2"/>
      <c r="T45" s="2"/>
      <c r="U45" s="5"/>
      <c r="V45" s="5"/>
      <c r="W45" s="5"/>
    </row>
    <row r="46" spans="1:53" ht="20.100000000000001" customHeight="1">
      <c r="A46" s="1451">
        <v>5</v>
      </c>
      <c r="B46" s="1496" t="s">
        <v>66</v>
      </c>
      <c r="C46" s="13">
        <v>1</v>
      </c>
      <c r="D46" s="13">
        <v>0</v>
      </c>
      <c r="E46" s="13">
        <v>0</v>
      </c>
      <c r="F46" s="1498">
        <f t="shared" si="58"/>
        <v>1</v>
      </c>
      <c r="G46" s="13">
        <v>3</v>
      </c>
      <c r="H46" s="13">
        <v>0</v>
      </c>
      <c r="I46" s="13">
        <v>1</v>
      </c>
      <c r="J46" s="1498">
        <f t="shared" si="59"/>
        <v>1</v>
      </c>
      <c r="K46" s="1498">
        <f t="shared" si="60"/>
        <v>0</v>
      </c>
      <c r="L46" s="1498">
        <f t="shared" si="61"/>
        <v>1</v>
      </c>
      <c r="M46" s="1498">
        <f t="shared" si="62"/>
        <v>1</v>
      </c>
      <c r="N46" s="1498">
        <f t="shared" si="63"/>
        <v>0</v>
      </c>
      <c r="O46" s="14">
        <v>11</v>
      </c>
      <c r="P46" s="15">
        <v>12</v>
      </c>
      <c r="Q46" s="2"/>
      <c r="R46" s="2"/>
      <c r="S46" s="2"/>
      <c r="T46" s="2"/>
      <c r="U46" s="5"/>
      <c r="V46" s="5"/>
      <c r="W46" s="5"/>
    </row>
    <row r="47" spans="1:53" ht="20.100000000000001" customHeight="1">
      <c r="A47" s="1451">
        <v>6</v>
      </c>
      <c r="B47" s="1496" t="s">
        <v>67</v>
      </c>
      <c r="C47" s="13">
        <v>0</v>
      </c>
      <c r="D47" s="13">
        <v>0</v>
      </c>
      <c r="E47" s="13">
        <v>0</v>
      </c>
      <c r="F47" s="1498">
        <f t="shared" si="58"/>
        <v>0</v>
      </c>
      <c r="G47" s="13">
        <v>0</v>
      </c>
      <c r="H47" s="13">
        <v>1</v>
      </c>
      <c r="I47" s="13">
        <v>1</v>
      </c>
      <c r="J47" s="1498">
        <f t="shared" si="59"/>
        <v>0</v>
      </c>
      <c r="K47" s="1498">
        <f t="shared" si="60"/>
        <v>1</v>
      </c>
      <c r="L47" s="1498">
        <f t="shared" si="61"/>
        <v>0</v>
      </c>
      <c r="M47" s="1498">
        <f t="shared" si="62"/>
        <v>1</v>
      </c>
      <c r="N47" s="1498">
        <f t="shared" si="63"/>
        <v>0</v>
      </c>
      <c r="O47" s="14">
        <v>13</v>
      </c>
      <c r="P47" s="15">
        <v>14</v>
      </c>
      <c r="Q47" s="2"/>
      <c r="R47" s="2"/>
      <c r="S47" s="2"/>
      <c r="T47" s="2"/>
      <c r="U47" s="5"/>
      <c r="V47" s="5"/>
      <c r="W47" s="5"/>
    </row>
    <row r="48" spans="1:53" ht="20.100000000000001" customHeight="1">
      <c r="A48" s="1451">
        <v>7</v>
      </c>
      <c r="B48" s="1496" t="s">
        <v>68</v>
      </c>
      <c r="C48" s="13">
        <v>0</v>
      </c>
      <c r="D48" s="13">
        <v>0</v>
      </c>
      <c r="E48" s="13">
        <v>0</v>
      </c>
      <c r="F48" s="1498">
        <f t="shared" si="58"/>
        <v>0</v>
      </c>
      <c r="G48" s="13">
        <v>0</v>
      </c>
      <c r="H48" s="13">
        <v>0</v>
      </c>
      <c r="I48" s="13">
        <v>0</v>
      </c>
      <c r="J48" s="1498">
        <f t="shared" si="59"/>
        <v>1</v>
      </c>
      <c r="K48" s="1498">
        <f t="shared" si="60"/>
        <v>1</v>
      </c>
      <c r="L48" s="1498">
        <f t="shared" si="61"/>
        <v>1</v>
      </c>
      <c r="M48" s="1498">
        <f t="shared" si="62"/>
        <v>1</v>
      </c>
      <c r="N48" s="1498">
        <f t="shared" si="63"/>
        <v>0</v>
      </c>
      <c r="O48" s="14">
        <v>15</v>
      </c>
      <c r="P48" s="15">
        <v>16</v>
      </c>
      <c r="Q48" s="2"/>
      <c r="R48" s="2"/>
      <c r="S48" s="2"/>
      <c r="T48" s="2"/>
      <c r="U48" s="5"/>
      <c r="V48" s="5"/>
      <c r="W48" s="5"/>
    </row>
    <row r="49" spans="1:23" ht="20.100000000000001" customHeight="1">
      <c r="A49" s="1451">
        <v>8</v>
      </c>
      <c r="B49" s="1496" t="s">
        <v>69</v>
      </c>
      <c r="C49" s="13">
        <v>1</v>
      </c>
      <c r="D49" s="13">
        <v>0</v>
      </c>
      <c r="E49" s="13">
        <v>1</v>
      </c>
      <c r="F49" s="1498">
        <f t="shared" si="58"/>
        <v>1</v>
      </c>
      <c r="G49" s="13">
        <v>1</v>
      </c>
      <c r="H49" s="13">
        <v>0</v>
      </c>
      <c r="I49" s="13">
        <v>1</v>
      </c>
      <c r="J49" s="1498">
        <f t="shared" si="59"/>
        <v>1</v>
      </c>
      <c r="K49" s="1498">
        <f t="shared" si="60"/>
        <v>1</v>
      </c>
      <c r="L49" s="1498">
        <f t="shared" si="61"/>
        <v>1</v>
      </c>
      <c r="M49" s="1498">
        <f t="shared" si="62"/>
        <v>1</v>
      </c>
      <c r="N49" s="1498">
        <f t="shared" si="63"/>
        <v>1</v>
      </c>
      <c r="O49" s="14">
        <v>17</v>
      </c>
      <c r="P49" s="15">
        <v>18</v>
      </c>
      <c r="Q49" s="2"/>
      <c r="R49" s="2"/>
      <c r="S49" s="2"/>
      <c r="T49" s="2"/>
      <c r="U49" s="5"/>
      <c r="V49" s="5"/>
      <c r="W49" s="5"/>
    </row>
    <row r="50" spans="1:23" ht="20.100000000000001" customHeight="1">
      <c r="A50" s="1451">
        <v>9</v>
      </c>
      <c r="B50" s="1496" t="s">
        <v>70</v>
      </c>
      <c r="C50" s="13">
        <v>0</v>
      </c>
      <c r="D50" s="13">
        <v>0</v>
      </c>
      <c r="E50" s="13">
        <v>0</v>
      </c>
      <c r="F50" s="1498">
        <f t="shared" si="58"/>
        <v>0</v>
      </c>
      <c r="G50" s="13">
        <v>0</v>
      </c>
      <c r="H50" s="13">
        <v>0</v>
      </c>
      <c r="I50" s="13">
        <v>0</v>
      </c>
      <c r="J50" s="1498">
        <f t="shared" si="59"/>
        <v>1</v>
      </c>
      <c r="K50" s="1498">
        <f t="shared" si="60"/>
        <v>1</v>
      </c>
      <c r="L50" s="1498">
        <f t="shared" si="61"/>
        <v>1</v>
      </c>
      <c r="M50" s="1498">
        <f t="shared" si="62"/>
        <v>1</v>
      </c>
      <c r="N50" s="1498">
        <f t="shared" si="63"/>
        <v>1</v>
      </c>
      <c r="O50" s="14">
        <v>19</v>
      </c>
      <c r="P50" s="15">
        <v>20</v>
      </c>
      <c r="Q50" s="2"/>
      <c r="R50" s="2"/>
      <c r="S50" s="2"/>
      <c r="T50" s="2"/>
      <c r="U50" s="5"/>
      <c r="V50" s="5"/>
      <c r="W50" s="5"/>
    </row>
    <row r="51" spans="1:23" ht="20.100000000000001" customHeight="1">
      <c r="A51" s="1451">
        <v>10</v>
      </c>
      <c r="B51" s="1496" t="s">
        <v>123</v>
      </c>
      <c r="C51" s="13">
        <v>1</v>
      </c>
      <c r="D51" s="13">
        <v>0</v>
      </c>
      <c r="E51" s="13">
        <v>0</v>
      </c>
      <c r="F51" s="1498">
        <f t="shared" si="58"/>
        <v>0</v>
      </c>
      <c r="G51" s="13">
        <v>0</v>
      </c>
      <c r="H51" s="13">
        <v>0</v>
      </c>
      <c r="I51" s="13">
        <v>0</v>
      </c>
      <c r="J51" s="1498">
        <f t="shared" si="59"/>
        <v>0</v>
      </c>
      <c r="K51" s="1498">
        <f t="shared" si="60"/>
        <v>0</v>
      </c>
      <c r="L51" s="1498">
        <f t="shared" si="61"/>
        <v>0</v>
      </c>
      <c r="M51" s="1498">
        <f t="shared" si="62"/>
        <v>0</v>
      </c>
      <c r="N51" s="1498">
        <f t="shared" si="63"/>
        <v>0</v>
      </c>
      <c r="O51" s="14">
        <v>21</v>
      </c>
      <c r="P51" s="15">
        <v>22</v>
      </c>
      <c r="Q51" s="2"/>
      <c r="R51" s="2"/>
      <c r="S51" s="2"/>
      <c r="T51" s="2"/>
      <c r="U51" s="5"/>
      <c r="V51" s="5"/>
      <c r="W51" s="5"/>
    </row>
    <row r="52" spans="1:23" ht="20.100000000000001" customHeight="1">
      <c r="A52" s="1451">
        <v>11</v>
      </c>
      <c r="B52" s="1496" t="s">
        <v>124</v>
      </c>
      <c r="C52" s="13">
        <v>0</v>
      </c>
      <c r="D52" s="13">
        <v>0</v>
      </c>
      <c r="E52" s="13">
        <v>0</v>
      </c>
      <c r="F52" s="1498">
        <f t="shared" si="58"/>
        <v>0</v>
      </c>
      <c r="G52" s="13">
        <v>0</v>
      </c>
      <c r="H52" s="13">
        <v>0</v>
      </c>
      <c r="I52" s="13">
        <v>0</v>
      </c>
      <c r="J52" s="1498">
        <f t="shared" si="59"/>
        <v>0</v>
      </c>
      <c r="K52" s="1498">
        <f t="shared" si="60"/>
        <v>1</v>
      </c>
      <c r="L52" s="1498">
        <f t="shared" si="61"/>
        <v>1</v>
      </c>
      <c r="M52" s="1498">
        <f t="shared" si="62"/>
        <v>1</v>
      </c>
      <c r="N52" s="1498">
        <f t="shared" si="63"/>
        <v>0</v>
      </c>
      <c r="O52" s="14">
        <v>23</v>
      </c>
      <c r="P52" s="15">
        <v>24</v>
      </c>
      <c r="Q52" s="2"/>
      <c r="R52" s="2"/>
      <c r="S52" s="2"/>
      <c r="T52" s="2"/>
      <c r="U52" s="5"/>
      <c r="V52" s="5"/>
      <c r="W52" s="5"/>
    </row>
    <row r="53" spans="1:23" ht="20.100000000000001" customHeight="1">
      <c r="A53" s="1451">
        <v>12</v>
      </c>
      <c r="B53" s="1496" t="s">
        <v>77</v>
      </c>
      <c r="C53" s="13">
        <v>0</v>
      </c>
      <c r="D53" s="13">
        <v>0</v>
      </c>
      <c r="E53" s="13">
        <v>0</v>
      </c>
      <c r="F53" s="1498">
        <f t="shared" si="58"/>
        <v>0</v>
      </c>
      <c r="G53" s="13">
        <v>0</v>
      </c>
      <c r="H53" s="13">
        <v>0</v>
      </c>
      <c r="I53" s="13">
        <v>1</v>
      </c>
      <c r="J53" s="1498">
        <f t="shared" si="59"/>
        <v>0</v>
      </c>
      <c r="K53" s="1498">
        <f t="shared" si="60"/>
        <v>1</v>
      </c>
      <c r="L53" s="1498">
        <f t="shared" si="61"/>
        <v>0</v>
      </c>
      <c r="M53" s="1498">
        <f t="shared" si="62"/>
        <v>1</v>
      </c>
      <c r="N53" s="1498">
        <f t="shared" si="63"/>
        <v>1</v>
      </c>
      <c r="O53" s="14">
        <v>25</v>
      </c>
      <c r="P53" s="15">
        <v>26</v>
      </c>
      <c r="Q53" s="2"/>
      <c r="R53" s="2"/>
      <c r="S53" s="2"/>
      <c r="T53" s="2"/>
      <c r="U53" s="5"/>
      <c r="V53" s="5"/>
      <c r="W53" s="5"/>
    </row>
    <row r="54" spans="1:23" ht="20.100000000000001" customHeight="1">
      <c r="A54" s="1451">
        <v>13</v>
      </c>
      <c r="B54" s="1496" t="s">
        <v>71</v>
      </c>
      <c r="C54" s="13">
        <v>0</v>
      </c>
      <c r="D54" s="13">
        <v>0</v>
      </c>
      <c r="E54" s="13">
        <v>0</v>
      </c>
      <c r="F54" s="1498">
        <f t="shared" si="58"/>
        <v>0</v>
      </c>
      <c r="G54" s="13">
        <v>0</v>
      </c>
      <c r="H54" s="13">
        <v>1</v>
      </c>
      <c r="I54" s="13">
        <v>1</v>
      </c>
      <c r="J54" s="1498">
        <f t="shared" si="59"/>
        <v>0</v>
      </c>
      <c r="K54" s="1498">
        <f t="shared" si="60"/>
        <v>1</v>
      </c>
      <c r="L54" s="1498">
        <f t="shared" si="61"/>
        <v>1</v>
      </c>
      <c r="M54" s="1498">
        <f t="shared" si="62"/>
        <v>1</v>
      </c>
      <c r="N54" s="1498">
        <f t="shared" si="63"/>
        <v>1</v>
      </c>
      <c r="O54" s="14">
        <v>27</v>
      </c>
      <c r="P54" s="15">
        <v>28</v>
      </c>
      <c r="Q54" s="2"/>
      <c r="R54" s="2"/>
      <c r="S54" s="2"/>
      <c r="T54" s="2"/>
      <c r="U54" s="5"/>
      <c r="V54" s="5"/>
      <c r="W54" s="5"/>
    </row>
    <row r="55" spans="1:23" ht="20.100000000000001" customHeight="1">
      <c r="A55" s="1451">
        <v>14</v>
      </c>
      <c r="B55" s="1499" t="s">
        <v>125</v>
      </c>
      <c r="C55" s="13">
        <v>1</v>
      </c>
      <c r="D55" s="13">
        <v>0</v>
      </c>
      <c r="E55" s="13">
        <v>0</v>
      </c>
      <c r="F55" s="1498">
        <f t="shared" si="58"/>
        <v>0</v>
      </c>
      <c r="G55" s="13">
        <v>0</v>
      </c>
      <c r="H55" s="13">
        <v>0</v>
      </c>
      <c r="I55" s="13">
        <v>0</v>
      </c>
      <c r="J55" s="1498">
        <f t="shared" si="59"/>
        <v>1</v>
      </c>
      <c r="K55" s="1498">
        <f t="shared" si="60"/>
        <v>0</v>
      </c>
      <c r="L55" s="1498">
        <f t="shared" si="61"/>
        <v>0</v>
      </c>
      <c r="M55" s="1498">
        <f t="shared" si="62"/>
        <v>1</v>
      </c>
      <c r="N55" s="1498">
        <f t="shared" si="63"/>
        <v>0</v>
      </c>
      <c r="O55" s="14">
        <v>29</v>
      </c>
      <c r="P55" s="15">
        <v>30</v>
      </c>
      <c r="Q55" s="2"/>
      <c r="R55" s="2"/>
      <c r="S55" s="2"/>
      <c r="T55" s="2"/>
      <c r="U55" s="5"/>
      <c r="V55" s="5"/>
      <c r="W55" s="5"/>
    </row>
    <row r="56" spans="1:23" ht="20.100000000000001" customHeight="1">
      <c r="A56" s="1451">
        <v>15</v>
      </c>
      <c r="B56" s="1500" t="s">
        <v>230</v>
      </c>
      <c r="C56" s="16">
        <v>0</v>
      </c>
      <c r="D56" s="13">
        <v>0</v>
      </c>
      <c r="E56" s="13">
        <v>0</v>
      </c>
      <c r="F56" s="1498">
        <f t="shared" si="58"/>
        <v>0</v>
      </c>
      <c r="G56" s="13">
        <v>0</v>
      </c>
      <c r="H56" s="13">
        <v>0</v>
      </c>
      <c r="I56" s="13">
        <v>0</v>
      </c>
      <c r="J56" s="1498">
        <f t="shared" si="59"/>
        <v>0</v>
      </c>
      <c r="K56" s="1498">
        <f t="shared" si="60"/>
        <v>1</v>
      </c>
      <c r="L56" s="1498">
        <f t="shared" si="61"/>
        <v>0</v>
      </c>
      <c r="M56" s="1498">
        <f t="shared" si="62"/>
        <v>1</v>
      </c>
      <c r="N56" s="1498">
        <f t="shared" si="63"/>
        <v>0</v>
      </c>
      <c r="O56" s="14">
        <v>31</v>
      </c>
      <c r="P56" s="15">
        <v>32</v>
      </c>
      <c r="Q56" s="2"/>
      <c r="R56" s="2"/>
      <c r="S56" s="2"/>
      <c r="T56" s="2"/>
      <c r="U56" s="5"/>
      <c r="V56" s="5"/>
      <c r="W56" s="5"/>
    </row>
    <row r="57" spans="1:23" ht="20.100000000000001" customHeight="1">
      <c r="A57" s="1451">
        <v>16</v>
      </c>
      <c r="B57" s="1496" t="s">
        <v>72</v>
      </c>
      <c r="C57" s="13">
        <v>0</v>
      </c>
      <c r="D57" s="13">
        <v>0</v>
      </c>
      <c r="E57" s="13">
        <v>0</v>
      </c>
      <c r="F57" s="1498">
        <f t="shared" si="58"/>
        <v>0</v>
      </c>
      <c r="G57" s="13">
        <v>4</v>
      </c>
      <c r="H57" s="13">
        <v>0</v>
      </c>
      <c r="I57" s="13">
        <v>0</v>
      </c>
      <c r="J57" s="1498">
        <f t="shared" si="59"/>
        <v>1</v>
      </c>
      <c r="K57" s="1498">
        <f t="shared" si="60"/>
        <v>0</v>
      </c>
      <c r="L57" s="1498">
        <f t="shared" si="61"/>
        <v>1</v>
      </c>
      <c r="M57" s="1498">
        <f t="shared" si="62"/>
        <v>1</v>
      </c>
      <c r="N57" s="1498">
        <f t="shared" si="63"/>
        <v>0</v>
      </c>
      <c r="O57" s="14">
        <v>33</v>
      </c>
      <c r="P57" s="15">
        <v>34</v>
      </c>
      <c r="Q57" s="2"/>
      <c r="R57" s="2"/>
      <c r="S57" s="2"/>
      <c r="T57" s="2"/>
      <c r="U57" s="5"/>
      <c r="V57" s="5"/>
      <c r="W57" s="5"/>
    </row>
    <row r="58" spans="1:23" ht="20.100000000000001" customHeight="1">
      <c r="A58" s="1451">
        <v>17</v>
      </c>
      <c r="B58" s="1496" t="s">
        <v>73</v>
      </c>
      <c r="C58" s="13">
        <v>1</v>
      </c>
      <c r="D58" s="13">
        <v>1</v>
      </c>
      <c r="E58" s="13">
        <v>0</v>
      </c>
      <c r="F58" s="1498">
        <f t="shared" si="58"/>
        <v>0</v>
      </c>
      <c r="G58" s="13">
        <v>0</v>
      </c>
      <c r="H58" s="13">
        <v>1</v>
      </c>
      <c r="I58" s="13">
        <v>0</v>
      </c>
      <c r="J58" s="1498">
        <f t="shared" si="59"/>
        <v>1</v>
      </c>
      <c r="K58" s="1498">
        <f t="shared" si="60"/>
        <v>1</v>
      </c>
      <c r="L58" s="1498">
        <f t="shared" si="61"/>
        <v>0</v>
      </c>
      <c r="M58" s="1498">
        <f t="shared" si="62"/>
        <v>1</v>
      </c>
      <c r="N58" s="1498">
        <f t="shared" si="63"/>
        <v>0</v>
      </c>
      <c r="O58" s="14">
        <v>35</v>
      </c>
      <c r="P58" s="15">
        <v>36</v>
      </c>
      <c r="Q58" s="2"/>
      <c r="R58" s="2"/>
      <c r="S58" s="2"/>
      <c r="T58" s="2"/>
      <c r="U58" s="5"/>
      <c r="V58" s="5"/>
      <c r="W58" s="5"/>
    </row>
    <row r="59" spans="1:23" ht="20.100000000000001" customHeight="1">
      <c r="A59" s="1451">
        <v>18</v>
      </c>
      <c r="B59" s="1496" t="s">
        <v>74</v>
      </c>
      <c r="C59" s="13">
        <v>1</v>
      </c>
      <c r="D59" s="13">
        <v>0</v>
      </c>
      <c r="E59" s="13">
        <v>0</v>
      </c>
      <c r="F59" s="1498">
        <f t="shared" si="58"/>
        <v>1</v>
      </c>
      <c r="G59" s="13">
        <v>0</v>
      </c>
      <c r="H59" s="13">
        <v>0</v>
      </c>
      <c r="I59" s="13">
        <v>0</v>
      </c>
      <c r="J59" s="1498">
        <f t="shared" si="59"/>
        <v>1</v>
      </c>
      <c r="K59" s="1498">
        <f t="shared" si="60"/>
        <v>1</v>
      </c>
      <c r="L59" s="1498">
        <f t="shared" si="61"/>
        <v>1</v>
      </c>
      <c r="M59" s="1498">
        <f t="shared" si="62"/>
        <v>1</v>
      </c>
      <c r="N59" s="1498">
        <f t="shared" si="63"/>
        <v>0</v>
      </c>
      <c r="O59" s="14">
        <v>37</v>
      </c>
      <c r="P59" s="15">
        <v>38</v>
      </c>
      <c r="Q59" s="2"/>
      <c r="R59" s="2"/>
      <c r="S59" s="2"/>
      <c r="T59" s="2"/>
      <c r="U59" s="5"/>
      <c r="V59" s="5"/>
      <c r="W59" s="5"/>
    </row>
    <row r="60" spans="1:23" ht="20.100000000000001" customHeight="1">
      <c r="A60" s="1451">
        <v>19</v>
      </c>
      <c r="B60" s="1496" t="s">
        <v>78</v>
      </c>
      <c r="C60" s="13">
        <v>1</v>
      </c>
      <c r="D60" s="13">
        <v>0</v>
      </c>
      <c r="E60" s="13">
        <v>0</v>
      </c>
      <c r="F60" s="1498">
        <f t="shared" si="58"/>
        <v>1</v>
      </c>
      <c r="G60" s="13">
        <v>0</v>
      </c>
      <c r="H60" s="13">
        <v>1</v>
      </c>
      <c r="I60" s="13">
        <v>0</v>
      </c>
      <c r="J60" s="1498">
        <f t="shared" si="59"/>
        <v>0</v>
      </c>
      <c r="K60" s="1498">
        <f t="shared" si="60"/>
        <v>1</v>
      </c>
      <c r="L60" s="1498">
        <f t="shared" si="61"/>
        <v>0</v>
      </c>
      <c r="M60" s="1498">
        <f t="shared" si="62"/>
        <v>1</v>
      </c>
      <c r="N60" s="1498">
        <f t="shared" si="63"/>
        <v>1</v>
      </c>
      <c r="O60" s="14">
        <v>39</v>
      </c>
      <c r="P60" s="15">
        <v>40</v>
      </c>
    </row>
    <row r="61" spans="1:23" ht="24.95" customHeight="1" thickBot="1">
      <c r="A61" s="1501">
        <v>21</v>
      </c>
      <c r="B61" s="1502" t="s">
        <v>291</v>
      </c>
      <c r="C61" s="17">
        <v>0</v>
      </c>
      <c r="D61" s="17"/>
      <c r="E61" s="17"/>
      <c r="F61" s="1503"/>
      <c r="G61" s="17"/>
      <c r="H61" s="17"/>
      <c r="I61" s="17"/>
      <c r="J61" s="1503"/>
      <c r="K61" s="1503"/>
      <c r="L61" s="1503"/>
      <c r="M61" s="1503"/>
      <c r="N61" s="1504"/>
      <c r="O61" s="18">
        <v>43</v>
      </c>
      <c r="P61" s="19">
        <v>44</v>
      </c>
      <c r="Q61" s="2"/>
      <c r="R61" s="2"/>
      <c r="S61" s="2"/>
      <c r="T61" s="2"/>
      <c r="U61" s="5"/>
      <c r="V61" s="5"/>
      <c r="W61" s="5"/>
    </row>
    <row r="63" spans="1:23" ht="20.100000000000001" customHeight="1">
      <c r="A63" s="1382" t="s">
        <v>284</v>
      </c>
    </row>
    <row r="65" spans="1:53" ht="20.100000000000001" customHeight="1">
      <c r="A65" s="1383" t="s">
        <v>153</v>
      </c>
    </row>
    <row r="66" spans="1:53" ht="20.100000000000001" customHeight="1">
      <c r="A66" s="1384">
        <v>1</v>
      </c>
      <c r="B66" s="1384">
        <v>2</v>
      </c>
      <c r="C66" s="1384">
        <v>3</v>
      </c>
      <c r="D66" s="1384">
        <v>4</v>
      </c>
      <c r="E66" s="1384">
        <v>5</v>
      </c>
      <c r="F66" s="1384">
        <v>6</v>
      </c>
      <c r="G66" s="1384">
        <v>7</v>
      </c>
      <c r="H66" s="1384">
        <v>8</v>
      </c>
      <c r="I66" s="1384">
        <v>9</v>
      </c>
      <c r="J66" s="1384">
        <v>10</v>
      </c>
      <c r="K66" s="1384">
        <v>11</v>
      </c>
      <c r="L66" s="1384">
        <v>12</v>
      </c>
      <c r="M66" s="1384">
        <v>13</v>
      </c>
      <c r="N66" s="1384">
        <v>14</v>
      </c>
      <c r="O66" s="1384">
        <v>15</v>
      </c>
      <c r="P66" s="1384">
        <v>16</v>
      </c>
      <c r="Q66" s="1384">
        <v>17</v>
      </c>
      <c r="R66" s="1384">
        <v>18</v>
      </c>
      <c r="S66" s="1384">
        <v>19</v>
      </c>
      <c r="T66" s="1384">
        <v>20</v>
      </c>
      <c r="U66" s="1384">
        <v>21</v>
      </c>
      <c r="V66" s="1384">
        <v>22</v>
      </c>
      <c r="W66" s="1384">
        <v>23</v>
      </c>
      <c r="X66" s="1384">
        <v>24</v>
      </c>
      <c r="Y66" s="1384">
        <v>25</v>
      </c>
      <c r="Z66" s="1384">
        <v>26</v>
      </c>
      <c r="AA66" s="1384">
        <v>27</v>
      </c>
      <c r="AB66" s="1384">
        <v>28</v>
      </c>
      <c r="AC66" s="1384">
        <v>29</v>
      </c>
      <c r="AD66" s="1384">
        <v>30</v>
      </c>
      <c r="AE66" s="1384">
        <v>31</v>
      </c>
      <c r="AF66" s="1384">
        <v>32</v>
      </c>
      <c r="AG66" s="1384">
        <v>33</v>
      </c>
      <c r="AH66" s="1384">
        <v>34</v>
      </c>
      <c r="AI66" s="1384">
        <v>35</v>
      </c>
      <c r="AJ66" s="1384">
        <v>36</v>
      </c>
      <c r="AK66" s="1384">
        <v>37</v>
      </c>
      <c r="AL66" s="1384">
        <v>38</v>
      </c>
      <c r="AM66" s="1384">
        <v>39</v>
      </c>
      <c r="AN66" s="1384">
        <v>40</v>
      </c>
      <c r="AO66" s="1384">
        <v>41</v>
      </c>
      <c r="AP66" s="1384">
        <v>42</v>
      </c>
      <c r="AQ66" s="1384">
        <v>43</v>
      </c>
      <c r="AR66" s="1384">
        <v>44</v>
      </c>
      <c r="AS66" s="1384"/>
      <c r="AT66" s="1384"/>
      <c r="AU66" s="1384"/>
      <c r="AV66" s="1505"/>
      <c r="AW66" s="1506"/>
      <c r="AX66" s="1506"/>
      <c r="AY66" s="1506"/>
      <c r="AZ66" s="1506"/>
      <c r="BA66" s="1506"/>
    </row>
    <row r="67" spans="1:53" ht="15.75" thickBot="1">
      <c r="AW67" s="1506"/>
      <c r="AX67" s="1506"/>
      <c r="AY67" s="1506"/>
      <c r="AZ67" s="1506"/>
      <c r="BA67" s="1506"/>
    </row>
    <row r="68" spans="1:53" ht="60" customHeight="1">
      <c r="A68" s="1385"/>
      <c r="B68" s="1507"/>
      <c r="C68" s="1788" t="s">
        <v>176</v>
      </c>
      <c r="D68" s="1791"/>
      <c r="E68" s="1786" t="s">
        <v>177</v>
      </c>
      <c r="F68" s="1781"/>
      <c r="G68" s="1788" t="s">
        <v>178</v>
      </c>
      <c r="H68" s="1791"/>
      <c r="I68" s="1792" t="s">
        <v>189</v>
      </c>
      <c r="J68" s="1781"/>
      <c r="K68" s="1788" t="s">
        <v>188</v>
      </c>
      <c r="L68" s="1791"/>
      <c r="M68" s="1786" t="s">
        <v>187</v>
      </c>
      <c r="N68" s="1788"/>
      <c r="O68" s="1775" t="s">
        <v>68</v>
      </c>
      <c r="P68" s="1781"/>
      <c r="Q68" s="1775" t="s">
        <v>69</v>
      </c>
      <c r="R68" s="1781"/>
      <c r="S68" s="1786" t="s">
        <v>190</v>
      </c>
      <c r="T68" s="1787"/>
      <c r="U68" s="1786" t="s">
        <v>186</v>
      </c>
      <c r="V68" s="1787"/>
      <c r="W68" s="1786" t="s">
        <v>193</v>
      </c>
      <c r="X68" s="1787"/>
      <c r="Y68" s="1786" t="s">
        <v>184</v>
      </c>
      <c r="Z68" s="1787"/>
      <c r="AA68" s="1786" t="s">
        <v>183</v>
      </c>
      <c r="AB68" s="1788"/>
      <c r="AC68" s="1779" t="s">
        <v>185</v>
      </c>
      <c r="AD68" s="1780"/>
      <c r="AE68" s="1775" t="s">
        <v>230</v>
      </c>
      <c r="AF68" s="1781"/>
      <c r="AG68" s="1786" t="s">
        <v>182</v>
      </c>
      <c r="AH68" s="1787"/>
      <c r="AI68" s="1786" t="s">
        <v>181</v>
      </c>
      <c r="AJ68" s="1787"/>
      <c r="AK68" s="1786" t="s">
        <v>180</v>
      </c>
      <c r="AL68" s="1787"/>
      <c r="AM68" s="1786" t="s">
        <v>179</v>
      </c>
      <c r="AN68" s="1787"/>
      <c r="AO68" s="1775" t="s">
        <v>2</v>
      </c>
      <c r="AP68" s="1776"/>
      <c r="AQ68" s="1777" t="s">
        <v>194</v>
      </c>
      <c r="AR68" s="1778"/>
      <c r="AW68" s="1506"/>
      <c r="AX68" s="1506"/>
      <c r="AY68" s="1506"/>
      <c r="AZ68" s="1506"/>
      <c r="BA68" s="1506"/>
    </row>
    <row r="69" spans="1:53" ht="24.95" customHeight="1">
      <c r="A69" s="1508"/>
      <c r="B69" s="1509" t="s">
        <v>195</v>
      </c>
      <c r="C69" s="1510" t="s">
        <v>62</v>
      </c>
      <c r="D69" s="1511" t="s">
        <v>48</v>
      </c>
      <c r="E69" s="1511" t="s">
        <v>62</v>
      </c>
      <c r="F69" s="1511" t="s">
        <v>48</v>
      </c>
      <c r="G69" s="1511" t="s">
        <v>62</v>
      </c>
      <c r="H69" s="1511" t="s">
        <v>48</v>
      </c>
      <c r="I69" s="1511" t="s">
        <v>62</v>
      </c>
      <c r="J69" s="1511" t="s">
        <v>48</v>
      </c>
      <c r="K69" s="1511" t="s">
        <v>62</v>
      </c>
      <c r="L69" s="1511" t="s">
        <v>48</v>
      </c>
      <c r="M69" s="1511" t="s">
        <v>62</v>
      </c>
      <c r="N69" s="1511" t="s">
        <v>48</v>
      </c>
      <c r="O69" s="1511" t="s">
        <v>62</v>
      </c>
      <c r="P69" s="1511" t="s">
        <v>48</v>
      </c>
      <c r="Q69" s="1511" t="s">
        <v>62</v>
      </c>
      <c r="R69" s="1511" t="s">
        <v>48</v>
      </c>
      <c r="S69" s="1511" t="s">
        <v>62</v>
      </c>
      <c r="T69" s="1511" t="s">
        <v>48</v>
      </c>
      <c r="U69" s="1511" t="s">
        <v>62</v>
      </c>
      <c r="V69" s="1511" t="s">
        <v>48</v>
      </c>
      <c r="W69" s="1511" t="s">
        <v>62</v>
      </c>
      <c r="X69" s="1511" t="s">
        <v>48</v>
      </c>
      <c r="Y69" s="1511" t="s">
        <v>62</v>
      </c>
      <c r="Z69" s="1511" t="s">
        <v>48</v>
      </c>
      <c r="AA69" s="1511" t="s">
        <v>62</v>
      </c>
      <c r="AB69" s="1511" t="s">
        <v>48</v>
      </c>
      <c r="AC69" s="1511" t="s">
        <v>62</v>
      </c>
      <c r="AD69" s="1511" t="s">
        <v>48</v>
      </c>
      <c r="AE69" s="1511" t="s">
        <v>62</v>
      </c>
      <c r="AF69" s="1511" t="s">
        <v>48</v>
      </c>
      <c r="AG69" s="1511" t="s">
        <v>62</v>
      </c>
      <c r="AH69" s="1511" t="s">
        <v>48</v>
      </c>
      <c r="AI69" s="1511" t="s">
        <v>62</v>
      </c>
      <c r="AJ69" s="1511" t="s">
        <v>48</v>
      </c>
      <c r="AK69" s="1511" t="s">
        <v>62</v>
      </c>
      <c r="AL69" s="1511" t="s">
        <v>48</v>
      </c>
      <c r="AM69" s="1511" t="s">
        <v>62</v>
      </c>
      <c r="AN69" s="1511" t="s">
        <v>48</v>
      </c>
      <c r="AO69" s="1511" t="s">
        <v>62</v>
      </c>
      <c r="AP69" s="1512" t="s">
        <v>48</v>
      </c>
      <c r="AQ69" s="1513" t="s">
        <v>62</v>
      </c>
      <c r="AR69" s="1512" t="s">
        <v>48</v>
      </c>
      <c r="AW69" s="1506"/>
      <c r="AX69" s="1506"/>
      <c r="AY69" s="1506"/>
      <c r="AZ69" s="1506"/>
      <c r="BA69" s="1506"/>
    </row>
    <row r="70" spans="1:53" ht="24.95" customHeight="1">
      <c r="A70" s="1514"/>
      <c r="B70" s="1515"/>
      <c r="C70" s="1510" t="s">
        <v>32</v>
      </c>
      <c r="D70" s="1421" t="s">
        <v>32</v>
      </c>
      <c r="E70" s="1420" t="s">
        <v>32</v>
      </c>
      <c r="F70" s="1421" t="s">
        <v>32</v>
      </c>
      <c r="G70" s="1420" t="s">
        <v>32</v>
      </c>
      <c r="H70" s="1419" t="s">
        <v>32</v>
      </c>
      <c r="I70" s="1419" t="s">
        <v>32</v>
      </c>
      <c r="J70" s="1419" t="s">
        <v>32</v>
      </c>
      <c r="K70" s="1419" t="s">
        <v>32</v>
      </c>
      <c r="L70" s="1419" t="s">
        <v>32</v>
      </c>
      <c r="M70" s="1419" t="s">
        <v>32</v>
      </c>
      <c r="N70" s="1419" t="s">
        <v>32</v>
      </c>
      <c r="O70" s="1419" t="s">
        <v>32</v>
      </c>
      <c r="P70" s="1420" t="s">
        <v>32</v>
      </c>
      <c r="Q70" s="1419" t="s">
        <v>32</v>
      </c>
      <c r="R70" s="1419" t="s">
        <v>32</v>
      </c>
      <c r="S70" s="1419" t="s">
        <v>32</v>
      </c>
      <c r="T70" s="1419" t="s">
        <v>32</v>
      </c>
      <c r="U70" s="1419" t="s">
        <v>32</v>
      </c>
      <c r="V70" s="1419" t="s">
        <v>32</v>
      </c>
      <c r="W70" s="1420" t="s">
        <v>32</v>
      </c>
      <c r="X70" s="1421" t="s">
        <v>32</v>
      </c>
      <c r="Y70" s="1420" t="s">
        <v>32</v>
      </c>
      <c r="Z70" s="1420" t="s">
        <v>32</v>
      </c>
      <c r="AA70" s="1420" t="s">
        <v>32</v>
      </c>
      <c r="AB70" s="1420" t="s">
        <v>32</v>
      </c>
      <c r="AC70" s="1420" t="s">
        <v>32</v>
      </c>
      <c r="AD70" s="1420" t="s">
        <v>32</v>
      </c>
      <c r="AE70" s="1420" t="s">
        <v>32</v>
      </c>
      <c r="AF70" s="1420" t="s">
        <v>32</v>
      </c>
      <c r="AG70" s="1419" t="s">
        <v>32</v>
      </c>
      <c r="AH70" s="1420" t="s">
        <v>32</v>
      </c>
      <c r="AI70" s="1420" t="s">
        <v>32</v>
      </c>
      <c r="AJ70" s="1420" t="s">
        <v>32</v>
      </c>
      <c r="AK70" s="1420" t="s">
        <v>32</v>
      </c>
      <c r="AL70" s="1420" t="s">
        <v>32</v>
      </c>
      <c r="AM70" s="1510" t="s">
        <v>32</v>
      </c>
      <c r="AN70" s="1420" t="s">
        <v>32</v>
      </c>
      <c r="AO70" s="1421" t="s">
        <v>32</v>
      </c>
      <c r="AP70" s="1422" t="s">
        <v>32</v>
      </c>
      <c r="AQ70" s="1516" t="s">
        <v>32</v>
      </c>
      <c r="AR70" s="1422" t="s">
        <v>32</v>
      </c>
      <c r="AW70" s="1506"/>
      <c r="AX70" s="1506"/>
      <c r="AY70" s="1506"/>
      <c r="AZ70" s="1506"/>
      <c r="BA70" s="1506"/>
    </row>
    <row r="71" spans="1:53" ht="24.95" customHeight="1">
      <c r="A71" s="1517"/>
      <c r="B71" s="1495"/>
      <c r="C71" s="1518" t="s">
        <v>4</v>
      </c>
      <c r="D71" s="1519" t="s">
        <v>5</v>
      </c>
      <c r="E71" s="1520" t="s">
        <v>6</v>
      </c>
      <c r="F71" s="1521" t="s">
        <v>7</v>
      </c>
      <c r="G71" s="1521" t="s">
        <v>8</v>
      </c>
      <c r="H71" s="1521" t="s">
        <v>9</v>
      </c>
      <c r="I71" s="1521" t="s">
        <v>59</v>
      </c>
      <c r="J71" s="1521" t="s">
        <v>60</v>
      </c>
      <c r="K71" s="1520" t="s">
        <v>61</v>
      </c>
      <c r="L71" s="1520" t="s">
        <v>10</v>
      </c>
      <c r="M71" s="1520" t="s">
        <v>11</v>
      </c>
      <c r="N71" s="1521" t="s">
        <v>12</v>
      </c>
      <c r="O71" s="1521" t="s">
        <v>13</v>
      </c>
      <c r="P71" s="1521" t="s">
        <v>14</v>
      </c>
      <c r="Q71" s="1521" t="s">
        <v>15</v>
      </c>
      <c r="R71" s="1521" t="s">
        <v>16</v>
      </c>
      <c r="S71" s="1521" t="s">
        <v>17</v>
      </c>
      <c r="T71" s="1521" t="s">
        <v>83</v>
      </c>
      <c r="U71" s="1520" t="s">
        <v>84</v>
      </c>
      <c r="V71" s="1426" t="s">
        <v>105</v>
      </c>
      <c r="W71" s="1426" t="s">
        <v>106</v>
      </c>
      <c r="X71" s="1520" t="s">
        <v>107</v>
      </c>
      <c r="Y71" s="1425" t="s">
        <v>139</v>
      </c>
      <c r="Z71" s="1521" t="s">
        <v>140</v>
      </c>
      <c r="AA71" s="1522" t="s">
        <v>141</v>
      </c>
      <c r="AB71" s="1521" t="s">
        <v>142</v>
      </c>
      <c r="AC71" s="1521" t="s">
        <v>143</v>
      </c>
      <c r="AD71" s="1521" t="s">
        <v>144</v>
      </c>
      <c r="AE71" s="1520" t="s">
        <v>145</v>
      </c>
      <c r="AF71" s="1521" t="s">
        <v>147</v>
      </c>
      <c r="AG71" s="1522" t="s">
        <v>146</v>
      </c>
      <c r="AH71" s="1521" t="s">
        <v>156</v>
      </c>
      <c r="AI71" s="1521" t="s">
        <v>157</v>
      </c>
      <c r="AJ71" s="1521" t="s">
        <v>158</v>
      </c>
      <c r="AK71" s="1521" t="s">
        <v>159</v>
      </c>
      <c r="AL71" s="1521" t="s">
        <v>160</v>
      </c>
      <c r="AM71" s="1523" t="s">
        <v>161</v>
      </c>
      <c r="AN71" s="1521" t="s">
        <v>172</v>
      </c>
      <c r="AO71" s="1520" t="s">
        <v>191</v>
      </c>
      <c r="AP71" s="1524" t="s">
        <v>192</v>
      </c>
      <c r="AQ71" s="1525" t="s">
        <v>222</v>
      </c>
      <c r="AR71" s="1524" t="s">
        <v>223</v>
      </c>
      <c r="AW71" s="1506"/>
      <c r="AX71" s="1506"/>
      <c r="AY71" s="1506"/>
      <c r="AZ71" s="1506"/>
      <c r="BA71" s="1506"/>
    </row>
    <row r="72" spans="1:53" ht="30" customHeight="1">
      <c r="A72" s="1526">
        <v>1</v>
      </c>
      <c r="B72" s="20" t="s">
        <v>26</v>
      </c>
      <c r="C72" s="21">
        <v>476</v>
      </c>
      <c r="D72" s="21">
        <v>83.33</v>
      </c>
      <c r="E72" s="21">
        <v>26</v>
      </c>
      <c r="F72" s="21">
        <v>13.75</v>
      </c>
      <c r="G72" s="21">
        <v>294.10000000000002</v>
      </c>
      <c r="H72" s="21">
        <v>57.6</v>
      </c>
      <c r="I72" s="21">
        <v>65</v>
      </c>
      <c r="J72" s="21">
        <v>41</v>
      </c>
      <c r="K72" s="21">
        <v>1662</v>
      </c>
      <c r="L72" s="21">
        <v>197.5</v>
      </c>
      <c r="M72" s="21">
        <v>118</v>
      </c>
      <c r="N72" s="21">
        <v>38.5</v>
      </c>
      <c r="O72" s="21">
        <v>20</v>
      </c>
      <c r="P72" s="21">
        <v>1.2</v>
      </c>
      <c r="Q72" s="21">
        <v>1214.55</v>
      </c>
      <c r="R72" s="21">
        <v>163.51</v>
      </c>
      <c r="S72" s="21">
        <v>340.75</v>
      </c>
      <c r="T72" s="21">
        <v>23.8</v>
      </c>
      <c r="U72" s="21">
        <v>30</v>
      </c>
      <c r="V72" s="21">
        <v>14.7</v>
      </c>
      <c r="W72" s="21">
        <v>0</v>
      </c>
      <c r="X72" s="21">
        <v>0</v>
      </c>
      <c r="Y72" s="21">
        <v>38</v>
      </c>
      <c r="Z72" s="21">
        <v>24</v>
      </c>
      <c r="AA72" s="21">
        <v>36</v>
      </c>
      <c r="AB72" s="22">
        <v>34.200000000000003</v>
      </c>
      <c r="AC72" s="21">
        <v>0</v>
      </c>
      <c r="AD72" s="21">
        <v>0</v>
      </c>
      <c r="AE72" s="21">
        <v>0</v>
      </c>
      <c r="AF72" s="21">
        <v>0</v>
      </c>
      <c r="AG72" s="21">
        <v>543.79999999999995</v>
      </c>
      <c r="AH72" s="21">
        <v>28</v>
      </c>
      <c r="AI72" s="21">
        <v>163.34</v>
      </c>
      <c r="AJ72" s="21">
        <v>95.600000000000009</v>
      </c>
      <c r="AK72" s="21">
        <v>769.21</v>
      </c>
      <c r="AL72" s="21">
        <v>37.42</v>
      </c>
      <c r="AM72" s="21">
        <v>178</v>
      </c>
      <c r="AN72" s="21">
        <v>58.666666666666671</v>
      </c>
      <c r="AO72" s="23">
        <f>SUMIF($C$69:$AN$69,AO$69,$C72:$AN72)</f>
        <v>5974.75</v>
      </c>
      <c r="AP72" s="23">
        <f>SUMIF($C$69:$AN$69,AP$69,$C72:$AN72)</f>
        <v>912.77666666666664</v>
      </c>
      <c r="AQ72" s="24">
        <v>0</v>
      </c>
      <c r="AR72" s="25">
        <v>0</v>
      </c>
      <c r="AW72" s="1506"/>
      <c r="AX72" s="1506"/>
      <c r="AY72" s="1506"/>
      <c r="AZ72" s="1506"/>
      <c r="BA72" s="1506"/>
    </row>
    <row r="73" spans="1:53" ht="30" customHeight="1">
      <c r="A73" s="1526"/>
      <c r="B73" s="26" t="s">
        <v>23</v>
      </c>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8"/>
      <c r="AC73" s="27"/>
      <c r="AD73" s="27"/>
      <c r="AE73" s="27"/>
      <c r="AF73" s="27"/>
      <c r="AG73" s="27"/>
      <c r="AH73" s="27"/>
      <c r="AI73" s="27"/>
      <c r="AJ73" s="27"/>
      <c r="AK73" s="27"/>
      <c r="AL73" s="27"/>
      <c r="AM73" s="27"/>
      <c r="AN73" s="27"/>
      <c r="AO73" s="27"/>
      <c r="AP73" s="27"/>
      <c r="AQ73" s="29"/>
      <c r="AR73" s="30"/>
      <c r="AW73" s="1506"/>
      <c r="AX73" s="1506"/>
      <c r="AY73" s="1506"/>
      <c r="AZ73" s="1506"/>
      <c r="BA73" s="1506"/>
    </row>
    <row r="74" spans="1:53" ht="24.95" customHeight="1">
      <c r="A74" s="1526"/>
      <c r="B74" s="31" t="s">
        <v>108</v>
      </c>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8"/>
      <c r="AC74" s="27"/>
      <c r="AD74" s="27"/>
      <c r="AE74" s="27"/>
      <c r="AF74" s="27"/>
      <c r="AG74" s="27"/>
      <c r="AH74" s="27"/>
      <c r="AI74" s="27"/>
      <c r="AJ74" s="27"/>
      <c r="AK74" s="27"/>
      <c r="AL74" s="27"/>
      <c r="AM74" s="27"/>
      <c r="AN74" s="27"/>
      <c r="AO74" s="27"/>
      <c r="AP74" s="27"/>
      <c r="AQ74" s="29"/>
      <c r="AR74" s="30"/>
      <c r="AW74" s="1506"/>
      <c r="AX74" s="1506"/>
      <c r="AY74" s="1506"/>
      <c r="AZ74" s="1506"/>
      <c r="BA74" s="1506"/>
    </row>
    <row r="75" spans="1:53" ht="20.100000000000001" customHeight="1">
      <c r="A75" s="1526">
        <v>2</v>
      </c>
      <c r="B75" s="32" t="s">
        <v>109</v>
      </c>
      <c r="C75" s="33">
        <v>0</v>
      </c>
      <c r="D75" s="33">
        <v>0</v>
      </c>
      <c r="E75" s="33">
        <v>0</v>
      </c>
      <c r="F75" s="33">
        <v>0</v>
      </c>
      <c r="G75" s="33">
        <v>0</v>
      </c>
      <c r="H75" s="33">
        <v>0</v>
      </c>
      <c r="I75" s="33">
        <v>0</v>
      </c>
      <c r="J75" s="33">
        <v>0</v>
      </c>
      <c r="K75" s="33">
        <v>0</v>
      </c>
      <c r="L75" s="33">
        <v>0</v>
      </c>
      <c r="M75" s="33">
        <v>4</v>
      </c>
      <c r="N75" s="33">
        <v>0</v>
      </c>
      <c r="O75" s="33">
        <v>0</v>
      </c>
      <c r="P75" s="33">
        <v>0</v>
      </c>
      <c r="Q75" s="33">
        <v>0</v>
      </c>
      <c r="R75" s="33">
        <v>0</v>
      </c>
      <c r="S75" s="33">
        <v>0</v>
      </c>
      <c r="T75" s="33">
        <v>0</v>
      </c>
      <c r="U75" s="33">
        <v>0</v>
      </c>
      <c r="V75" s="33">
        <v>0</v>
      </c>
      <c r="W75" s="33">
        <v>0</v>
      </c>
      <c r="X75" s="33">
        <v>0</v>
      </c>
      <c r="Y75" s="33">
        <v>0</v>
      </c>
      <c r="Z75" s="33">
        <v>0</v>
      </c>
      <c r="AA75" s="33">
        <v>0</v>
      </c>
      <c r="AB75" s="34">
        <v>0</v>
      </c>
      <c r="AC75" s="33">
        <v>0</v>
      </c>
      <c r="AD75" s="33">
        <v>0</v>
      </c>
      <c r="AE75" s="33">
        <v>0</v>
      </c>
      <c r="AF75" s="33">
        <v>0</v>
      </c>
      <c r="AG75" s="33">
        <v>0</v>
      </c>
      <c r="AH75" s="33">
        <v>0</v>
      </c>
      <c r="AI75" s="33">
        <v>0</v>
      </c>
      <c r="AJ75" s="33">
        <v>0</v>
      </c>
      <c r="AK75" s="33">
        <v>0</v>
      </c>
      <c r="AL75" s="33">
        <v>0</v>
      </c>
      <c r="AM75" s="33">
        <v>109</v>
      </c>
      <c r="AN75" s="33">
        <v>0</v>
      </c>
      <c r="AO75" s="35">
        <f>SUMIF($C$69:$AN$69,AO$69,$C75:$AN75)</f>
        <v>113</v>
      </c>
      <c r="AP75" s="35">
        <f>SUMIF($C$69:$AN$69,AP$69,$C75:$AN75)</f>
        <v>0</v>
      </c>
      <c r="AQ75" s="36">
        <v>0</v>
      </c>
      <c r="AR75" s="37">
        <v>0</v>
      </c>
      <c r="AW75" s="1506"/>
      <c r="AX75" s="1506"/>
      <c r="AY75" s="1506"/>
      <c r="AZ75" s="1506"/>
      <c r="BA75" s="1506"/>
    </row>
    <row r="76" spans="1:53" ht="24.95" customHeight="1">
      <c r="A76" s="1526">
        <v>3</v>
      </c>
      <c r="B76" s="31" t="s">
        <v>110</v>
      </c>
      <c r="C76" s="33">
        <v>440.3</v>
      </c>
      <c r="D76" s="33">
        <v>58.23</v>
      </c>
      <c r="E76" s="33">
        <v>99</v>
      </c>
      <c r="F76" s="33">
        <v>84.25</v>
      </c>
      <c r="G76" s="33">
        <v>447</v>
      </c>
      <c r="H76" s="33">
        <v>469.7</v>
      </c>
      <c r="I76" s="33">
        <v>513</v>
      </c>
      <c r="J76" s="33">
        <v>202.8</v>
      </c>
      <c r="K76" s="33">
        <v>963.1</v>
      </c>
      <c r="L76" s="33">
        <v>207.9</v>
      </c>
      <c r="M76" s="33">
        <v>304</v>
      </c>
      <c r="N76" s="33">
        <v>112.3</v>
      </c>
      <c r="O76" s="33">
        <v>95</v>
      </c>
      <c r="P76" s="33">
        <v>0</v>
      </c>
      <c r="Q76" s="33">
        <v>850.47500000000002</v>
      </c>
      <c r="R76" s="33">
        <v>220.75</v>
      </c>
      <c r="S76" s="33">
        <v>516.25</v>
      </c>
      <c r="T76" s="33">
        <v>61.99</v>
      </c>
      <c r="U76" s="33">
        <v>23.5</v>
      </c>
      <c r="V76" s="33">
        <v>80.98</v>
      </c>
      <c r="W76" s="33">
        <v>0</v>
      </c>
      <c r="X76" s="33">
        <v>158.80000000000001</v>
      </c>
      <c r="Y76" s="33">
        <v>155</v>
      </c>
      <c r="Z76" s="33">
        <v>163.41</v>
      </c>
      <c r="AA76" s="33">
        <v>171.5</v>
      </c>
      <c r="AB76" s="34">
        <v>185.49</v>
      </c>
      <c r="AC76" s="33">
        <v>54</v>
      </c>
      <c r="AD76" s="33">
        <v>0</v>
      </c>
      <c r="AE76" s="33">
        <v>0</v>
      </c>
      <c r="AF76" s="33">
        <v>6.5</v>
      </c>
      <c r="AG76" s="33">
        <v>281.8</v>
      </c>
      <c r="AH76" s="33">
        <v>66.67</v>
      </c>
      <c r="AI76" s="33">
        <v>266.5</v>
      </c>
      <c r="AJ76" s="33">
        <v>160.16000000000003</v>
      </c>
      <c r="AK76" s="33">
        <v>400.5</v>
      </c>
      <c r="AL76" s="33">
        <v>50</v>
      </c>
      <c r="AM76" s="33">
        <v>201</v>
      </c>
      <c r="AN76" s="33">
        <v>214.66666666666666</v>
      </c>
      <c r="AO76" s="35">
        <f>SUMIF($C$69:$AN$69,AO$69,$C76:$AN76)</f>
        <v>5781.9250000000002</v>
      </c>
      <c r="AP76" s="35">
        <f>SUMIF($C$69:$AN$69,AP$69,$C76:$AN76)</f>
        <v>2504.5966666666664</v>
      </c>
      <c r="AQ76" s="36">
        <v>0</v>
      </c>
      <c r="AR76" s="37">
        <v>121</v>
      </c>
      <c r="AW76" s="1506"/>
      <c r="AX76" s="1506"/>
      <c r="AY76" s="1506"/>
      <c r="AZ76" s="1506"/>
      <c r="BA76" s="1506"/>
    </row>
    <row r="77" spans="1:53" ht="30" customHeight="1">
      <c r="A77" s="1526"/>
      <c r="B77" s="31" t="s">
        <v>2</v>
      </c>
      <c r="C77" s="35">
        <f>SUM(C75:C76)</f>
        <v>440.3</v>
      </c>
      <c r="D77" s="35">
        <f t="shared" ref="D77:M77" si="64">SUM(D75:D76)</f>
        <v>58.23</v>
      </c>
      <c r="E77" s="35">
        <f t="shared" si="64"/>
        <v>99</v>
      </c>
      <c r="F77" s="35">
        <f t="shared" si="64"/>
        <v>84.25</v>
      </c>
      <c r="G77" s="35">
        <f t="shared" si="64"/>
        <v>447</v>
      </c>
      <c r="H77" s="35">
        <f t="shared" si="64"/>
        <v>469.7</v>
      </c>
      <c r="I77" s="35">
        <f t="shared" si="64"/>
        <v>513</v>
      </c>
      <c r="J77" s="35">
        <f t="shared" si="64"/>
        <v>202.8</v>
      </c>
      <c r="K77" s="35">
        <f t="shared" si="64"/>
        <v>963.1</v>
      </c>
      <c r="L77" s="35">
        <f t="shared" si="64"/>
        <v>207.9</v>
      </c>
      <c r="M77" s="35">
        <f t="shared" si="64"/>
        <v>308</v>
      </c>
      <c r="N77" s="35">
        <f t="shared" ref="N77:AR77" si="65">SUM(N75:N76)</f>
        <v>112.3</v>
      </c>
      <c r="O77" s="35">
        <f t="shared" si="65"/>
        <v>95</v>
      </c>
      <c r="P77" s="35">
        <f t="shared" si="65"/>
        <v>0</v>
      </c>
      <c r="Q77" s="35">
        <f t="shared" si="65"/>
        <v>850.47500000000002</v>
      </c>
      <c r="R77" s="35">
        <f t="shared" si="65"/>
        <v>220.75</v>
      </c>
      <c r="S77" s="35">
        <f t="shared" si="65"/>
        <v>516.25</v>
      </c>
      <c r="T77" s="35">
        <f t="shared" si="65"/>
        <v>61.99</v>
      </c>
      <c r="U77" s="35">
        <f t="shared" si="65"/>
        <v>23.5</v>
      </c>
      <c r="V77" s="35">
        <f t="shared" si="65"/>
        <v>80.98</v>
      </c>
      <c r="W77" s="35">
        <f t="shared" si="65"/>
        <v>0</v>
      </c>
      <c r="X77" s="35">
        <f t="shared" si="65"/>
        <v>158.80000000000001</v>
      </c>
      <c r="Y77" s="35">
        <f t="shared" si="65"/>
        <v>155</v>
      </c>
      <c r="Z77" s="35">
        <f t="shared" si="65"/>
        <v>163.41</v>
      </c>
      <c r="AA77" s="35">
        <f t="shared" si="65"/>
        <v>171.5</v>
      </c>
      <c r="AB77" s="38">
        <f t="shared" si="65"/>
        <v>185.49</v>
      </c>
      <c r="AC77" s="35">
        <f t="shared" si="65"/>
        <v>54</v>
      </c>
      <c r="AD77" s="35">
        <f t="shared" si="65"/>
        <v>0</v>
      </c>
      <c r="AE77" s="35">
        <f t="shared" si="65"/>
        <v>0</v>
      </c>
      <c r="AF77" s="35">
        <f t="shared" si="65"/>
        <v>6.5</v>
      </c>
      <c r="AG77" s="35">
        <f t="shared" si="65"/>
        <v>281.8</v>
      </c>
      <c r="AH77" s="35">
        <f t="shared" si="65"/>
        <v>66.67</v>
      </c>
      <c r="AI77" s="35">
        <f t="shared" si="65"/>
        <v>266.5</v>
      </c>
      <c r="AJ77" s="35">
        <f t="shared" si="65"/>
        <v>160.16000000000003</v>
      </c>
      <c r="AK77" s="35">
        <f t="shared" si="65"/>
        <v>400.5</v>
      </c>
      <c r="AL77" s="35">
        <f t="shared" si="65"/>
        <v>50</v>
      </c>
      <c r="AM77" s="35">
        <f t="shared" si="65"/>
        <v>310</v>
      </c>
      <c r="AN77" s="35">
        <f t="shared" si="65"/>
        <v>214.66666666666666</v>
      </c>
      <c r="AO77" s="35">
        <f t="shared" si="65"/>
        <v>5894.9250000000002</v>
      </c>
      <c r="AP77" s="35">
        <f t="shared" si="65"/>
        <v>2504.5966666666664</v>
      </c>
      <c r="AQ77" s="39">
        <f t="shared" si="65"/>
        <v>0</v>
      </c>
      <c r="AR77" s="40">
        <f t="shared" si="65"/>
        <v>121</v>
      </c>
      <c r="AW77" s="1506"/>
      <c r="AX77" s="1506"/>
      <c r="AY77" s="1506"/>
      <c r="AZ77" s="1506"/>
      <c r="BA77" s="1506"/>
    </row>
    <row r="78" spans="1:53" ht="30" customHeight="1">
      <c r="A78" s="1526"/>
      <c r="B78" s="26" t="s">
        <v>24</v>
      </c>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8"/>
      <c r="AC78" s="27"/>
      <c r="AD78" s="27"/>
      <c r="AE78" s="27"/>
      <c r="AF78" s="27"/>
      <c r="AG78" s="27"/>
      <c r="AH78" s="27"/>
      <c r="AI78" s="27"/>
      <c r="AJ78" s="27"/>
      <c r="AK78" s="27"/>
      <c r="AL78" s="27"/>
      <c r="AM78" s="27"/>
      <c r="AN78" s="27"/>
      <c r="AO78" s="27"/>
      <c r="AP78" s="27"/>
      <c r="AQ78" s="29"/>
      <c r="AR78" s="30"/>
      <c r="AW78" s="1506"/>
      <c r="AX78" s="1506"/>
      <c r="AY78" s="1506"/>
      <c r="AZ78" s="1506"/>
      <c r="BA78" s="1506"/>
    </row>
    <row r="79" spans="1:53" ht="24.95" customHeight="1">
      <c r="A79" s="1526"/>
      <c r="B79" s="31" t="s">
        <v>108</v>
      </c>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8"/>
      <c r="AC79" s="27"/>
      <c r="AD79" s="27"/>
      <c r="AE79" s="27"/>
      <c r="AF79" s="27"/>
      <c r="AG79" s="27"/>
      <c r="AH79" s="27"/>
      <c r="AI79" s="27"/>
      <c r="AJ79" s="27"/>
      <c r="AK79" s="27"/>
      <c r="AL79" s="27"/>
      <c r="AM79" s="27"/>
      <c r="AN79" s="27"/>
      <c r="AO79" s="27"/>
      <c r="AP79" s="27"/>
      <c r="AQ79" s="29"/>
      <c r="AR79" s="30"/>
      <c r="AW79" s="1506"/>
      <c r="AX79" s="1506"/>
      <c r="AY79" s="1506"/>
      <c r="AZ79" s="1506"/>
      <c r="BA79" s="1506"/>
    </row>
    <row r="80" spans="1:53" ht="20.100000000000001" customHeight="1">
      <c r="A80" s="1526">
        <v>4</v>
      </c>
      <c r="B80" s="32" t="s">
        <v>111</v>
      </c>
      <c r="C80" s="33">
        <v>123</v>
      </c>
      <c r="D80" s="33">
        <v>3.9699999999999998</v>
      </c>
      <c r="E80" s="33">
        <v>0</v>
      </c>
      <c r="F80" s="33">
        <v>0</v>
      </c>
      <c r="G80" s="33">
        <v>127</v>
      </c>
      <c r="H80" s="33">
        <v>0</v>
      </c>
      <c r="I80" s="33">
        <v>0</v>
      </c>
      <c r="J80" s="33">
        <v>0</v>
      </c>
      <c r="K80" s="33">
        <v>115</v>
      </c>
      <c r="L80" s="33">
        <v>0</v>
      </c>
      <c r="M80" s="33">
        <v>0</v>
      </c>
      <c r="N80" s="33">
        <v>0</v>
      </c>
      <c r="O80" s="33">
        <v>0</v>
      </c>
      <c r="P80" s="33">
        <v>0</v>
      </c>
      <c r="Q80" s="33">
        <v>167</v>
      </c>
      <c r="R80" s="33">
        <v>0</v>
      </c>
      <c r="S80" s="33">
        <v>0</v>
      </c>
      <c r="T80" s="33">
        <v>0</v>
      </c>
      <c r="U80" s="33">
        <v>20</v>
      </c>
      <c r="V80" s="33">
        <v>0</v>
      </c>
      <c r="W80" s="33">
        <v>0</v>
      </c>
      <c r="X80" s="33">
        <v>0</v>
      </c>
      <c r="Y80" s="33">
        <v>0</v>
      </c>
      <c r="Z80" s="33">
        <v>0</v>
      </c>
      <c r="AA80" s="33">
        <v>0</v>
      </c>
      <c r="AB80" s="34">
        <v>0</v>
      </c>
      <c r="AC80" s="33">
        <v>0</v>
      </c>
      <c r="AD80" s="33">
        <v>0</v>
      </c>
      <c r="AE80" s="33">
        <v>0</v>
      </c>
      <c r="AF80" s="33">
        <v>0</v>
      </c>
      <c r="AG80" s="33">
        <v>0</v>
      </c>
      <c r="AH80" s="33">
        <v>0</v>
      </c>
      <c r="AI80" s="33">
        <v>0</v>
      </c>
      <c r="AJ80" s="33">
        <v>0</v>
      </c>
      <c r="AK80" s="33">
        <v>285</v>
      </c>
      <c r="AL80" s="33">
        <v>15</v>
      </c>
      <c r="AM80" s="33">
        <v>81</v>
      </c>
      <c r="AN80" s="33">
        <v>2</v>
      </c>
      <c r="AO80" s="35">
        <f t="shared" ref="AO80:AP82" si="66">SUMIF($C$69:$AN$69,AO$69,$C80:$AN80)</f>
        <v>918</v>
      </c>
      <c r="AP80" s="35">
        <f t="shared" si="66"/>
        <v>20.97</v>
      </c>
      <c r="AQ80" s="36">
        <v>0</v>
      </c>
      <c r="AR80" s="37">
        <v>0</v>
      </c>
      <c r="AW80" s="1506"/>
      <c r="AX80" s="1506"/>
      <c r="AY80" s="1506"/>
      <c r="AZ80" s="1506"/>
      <c r="BA80" s="1506"/>
    </row>
    <row r="81" spans="1:53" ht="20.100000000000001" customHeight="1">
      <c r="A81" s="1526">
        <v>5</v>
      </c>
      <c r="B81" s="32" t="s">
        <v>112</v>
      </c>
      <c r="C81" s="33">
        <v>102</v>
      </c>
      <c r="D81" s="33">
        <v>1.1000000000000001</v>
      </c>
      <c r="E81" s="33">
        <v>0</v>
      </c>
      <c r="F81" s="33">
        <v>0</v>
      </c>
      <c r="G81" s="33">
        <v>28</v>
      </c>
      <c r="H81" s="33">
        <v>0</v>
      </c>
      <c r="I81" s="33">
        <v>0</v>
      </c>
      <c r="J81" s="33">
        <v>0</v>
      </c>
      <c r="K81" s="33">
        <v>164</v>
      </c>
      <c r="L81" s="33">
        <v>0</v>
      </c>
      <c r="M81" s="33">
        <v>0</v>
      </c>
      <c r="N81" s="33">
        <v>0</v>
      </c>
      <c r="O81" s="33">
        <v>0</v>
      </c>
      <c r="P81" s="33">
        <v>0</v>
      </c>
      <c r="Q81" s="33">
        <v>145</v>
      </c>
      <c r="R81" s="33">
        <v>3</v>
      </c>
      <c r="S81" s="33">
        <v>0</v>
      </c>
      <c r="T81" s="33">
        <v>0</v>
      </c>
      <c r="U81" s="33">
        <v>0</v>
      </c>
      <c r="V81" s="33">
        <v>0</v>
      </c>
      <c r="W81" s="33">
        <v>8</v>
      </c>
      <c r="X81" s="33">
        <v>0</v>
      </c>
      <c r="Y81" s="33">
        <v>0</v>
      </c>
      <c r="Z81" s="33">
        <v>0</v>
      </c>
      <c r="AA81" s="33">
        <v>0</v>
      </c>
      <c r="AB81" s="34">
        <v>0</v>
      </c>
      <c r="AC81" s="33">
        <v>0</v>
      </c>
      <c r="AD81" s="33">
        <v>0</v>
      </c>
      <c r="AE81" s="33">
        <v>0</v>
      </c>
      <c r="AF81" s="33">
        <v>0</v>
      </c>
      <c r="AG81" s="33">
        <v>0</v>
      </c>
      <c r="AH81" s="33">
        <v>0</v>
      </c>
      <c r="AI81" s="33">
        <v>0</v>
      </c>
      <c r="AJ81" s="33">
        <v>0</v>
      </c>
      <c r="AK81" s="33">
        <v>375</v>
      </c>
      <c r="AL81" s="33">
        <v>5.3</v>
      </c>
      <c r="AM81" s="33">
        <v>56</v>
      </c>
      <c r="AN81" s="33">
        <v>0</v>
      </c>
      <c r="AO81" s="35">
        <f t="shared" si="66"/>
        <v>878</v>
      </c>
      <c r="AP81" s="35">
        <f t="shared" si="66"/>
        <v>9.3999999999999986</v>
      </c>
      <c r="AQ81" s="36">
        <v>6</v>
      </c>
      <c r="AR81" s="37">
        <v>0</v>
      </c>
      <c r="AW81" s="1506"/>
      <c r="AX81" s="1506"/>
      <c r="AY81" s="1506"/>
      <c r="AZ81" s="1506"/>
      <c r="BA81" s="1506"/>
    </row>
    <row r="82" spans="1:53" ht="24.95" customHeight="1">
      <c r="A82" s="1526">
        <v>6</v>
      </c>
      <c r="B82" s="31" t="s">
        <v>110</v>
      </c>
      <c r="C82" s="33">
        <v>1</v>
      </c>
      <c r="D82" s="33">
        <v>107.23</v>
      </c>
      <c r="E82" s="33">
        <v>0</v>
      </c>
      <c r="F82" s="33">
        <v>0</v>
      </c>
      <c r="G82" s="33">
        <v>84</v>
      </c>
      <c r="H82" s="33">
        <v>98.5</v>
      </c>
      <c r="I82" s="33">
        <v>0</v>
      </c>
      <c r="J82" s="33">
        <v>0</v>
      </c>
      <c r="K82" s="33">
        <v>91</v>
      </c>
      <c r="L82" s="33">
        <v>98</v>
      </c>
      <c r="M82" s="33">
        <v>0</v>
      </c>
      <c r="N82" s="33">
        <v>0</v>
      </c>
      <c r="O82" s="33">
        <v>72</v>
      </c>
      <c r="P82" s="33">
        <v>8.6999999999999993</v>
      </c>
      <c r="Q82" s="33">
        <v>43.4</v>
      </c>
      <c r="R82" s="33">
        <v>216.1</v>
      </c>
      <c r="S82" s="33">
        <v>0</v>
      </c>
      <c r="T82" s="33">
        <v>0</v>
      </c>
      <c r="U82" s="33">
        <v>0</v>
      </c>
      <c r="V82" s="33">
        <v>0</v>
      </c>
      <c r="W82" s="33">
        <v>0</v>
      </c>
      <c r="X82" s="33">
        <v>0</v>
      </c>
      <c r="Y82" s="33">
        <v>0</v>
      </c>
      <c r="Z82" s="33">
        <v>0</v>
      </c>
      <c r="AA82" s="33">
        <v>34</v>
      </c>
      <c r="AB82" s="34">
        <v>0</v>
      </c>
      <c r="AC82" s="33">
        <v>0</v>
      </c>
      <c r="AD82" s="33">
        <v>0</v>
      </c>
      <c r="AE82" s="33">
        <v>0</v>
      </c>
      <c r="AF82" s="33">
        <v>0</v>
      </c>
      <c r="AG82" s="33">
        <v>0</v>
      </c>
      <c r="AH82" s="33">
        <v>0</v>
      </c>
      <c r="AI82" s="33">
        <v>12.5</v>
      </c>
      <c r="AJ82" s="33">
        <v>17.170000000000002</v>
      </c>
      <c r="AK82" s="33">
        <v>66.13</v>
      </c>
      <c r="AL82" s="33">
        <v>70.41</v>
      </c>
      <c r="AM82" s="33">
        <v>0</v>
      </c>
      <c r="AN82" s="33">
        <v>30.000000000000004</v>
      </c>
      <c r="AO82" s="35">
        <f t="shared" si="66"/>
        <v>404.03</v>
      </c>
      <c r="AP82" s="35">
        <f t="shared" si="66"/>
        <v>646.1099999999999</v>
      </c>
      <c r="AQ82" s="36">
        <v>0</v>
      </c>
      <c r="AR82" s="37">
        <v>0</v>
      </c>
      <c r="AW82" s="1506"/>
      <c r="AX82" s="1506"/>
      <c r="AY82" s="1506"/>
      <c r="AZ82" s="1506"/>
      <c r="BA82" s="1506"/>
    </row>
    <row r="83" spans="1:53" ht="30" customHeight="1">
      <c r="A83" s="1526"/>
      <c r="B83" s="31" t="s">
        <v>2</v>
      </c>
      <c r="C83" s="35">
        <f>SUM(C80:C82)</f>
        <v>226</v>
      </c>
      <c r="D83" s="35">
        <f t="shared" ref="D83:M83" si="67">SUM(D80:D82)</f>
        <v>112.30000000000001</v>
      </c>
      <c r="E83" s="35">
        <f t="shared" si="67"/>
        <v>0</v>
      </c>
      <c r="F83" s="35">
        <f t="shared" si="67"/>
        <v>0</v>
      </c>
      <c r="G83" s="35">
        <f t="shared" si="67"/>
        <v>239</v>
      </c>
      <c r="H83" s="35">
        <f t="shared" si="67"/>
        <v>98.5</v>
      </c>
      <c r="I83" s="35">
        <f t="shared" si="67"/>
        <v>0</v>
      </c>
      <c r="J83" s="35">
        <f t="shared" si="67"/>
        <v>0</v>
      </c>
      <c r="K83" s="35">
        <f t="shared" si="67"/>
        <v>370</v>
      </c>
      <c r="L83" s="35">
        <f t="shared" si="67"/>
        <v>98</v>
      </c>
      <c r="M83" s="35">
        <f t="shared" si="67"/>
        <v>0</v>
      </c>
      <c r="N83" s="35">
        <f t="shared" ref="N83:AR83" si="68">SUM(N80:N82)</f>
        <v>0</v>
      </c>
      <c r="O83" s="35">
        <f t="shared" si="68"/>
        <v>72</v>
      </c>
      <c r="P83" s="35">
        <f t="shared" si="68"/>
        <v>8.6999999999999993</v>
      </c>
      <c r="Q83" s="35">
        <f t="shared" si="68"/>
        <v>355.4</v>
      </c>
      <c r="R83" s="35">
        <f t="shared" si="68"/>
        <v>219.1</v>
      </c>
      <c r="S83" s="35">
        <f t="shared" si="68"/>
        <v>0</v>
      </c>
      <c r="T83" s="35">
        <f t="shared" si="68"/>
        <v>0</v>
      </c>
      <c r="U83" s="35">
        <f t="shared" si="68"/>
        <v>20</v>
      </c>
      <c r="V83" s="35">
        <f t="shared" si="68"/>
        <v>0</v>
      </c>
      <c r="W83" s="35">
        <f t="shared" si="68"/>
        <v>8</v>
      </c>
      <c r="X83" s="35">
        <f t="shared" si="68"/>
        <v>0</v>
      </c>
      <c r="Y83" s="35">
        <f t="shared" si="68"/>
        <v>0</v>
      </c>
      <c r="Z83" s="35">
        <f t="shared" si="68"/>
        <v>0</v>
      </c>
      <c r="AA83" s="35">
        <f t="shared" si="68"/>
        <v>34</v>
      </c>
      <c r="AB83" s="38">
        <f t="shared" si="68"/>
        <v>0</v>
      </c>
      <c r="AC83" s="35">
        <f t="shared" si="68"/>
        <v>0</v>
      </c>
      <c r="AD83" s="35">
        <f t="shared" si="68"/>
        <v>0</v>
      </c>
      <c r="AE83" s="35">
        <f t="shared" si="68"/>
        <v>0</v>
      </c>
      <c r="AF83" s="35">
        <f t="shared" si="68"/>
        <v>0</v>
      </c>
      <c r="AG83" s="35">
        <f t="shared" si="68"/>
        <v>0</v>
      </c>
      <c r="AH83" s="35">
        <f t="shared" si="68"/>
        <v>0</v>
      </c>
      <c r="AI83" s="35">
        <f t="shared" si="68"/>
        <v>12.5</v>
      </c>
      <c r="AJ83" s="35">
        <f t="shared" si="68"/>
        <v>17.170000000000002</v>
      </c>
      <c r="AK83" s="35">
        <f t="shared" si="68"/>
        <v>726.13</v>
      </c>
      <c r="AL83" s="35">
        <f t="shared" si="68"/>
        <v>90.71</v>
      </c>
      <c r="AM83" s="35">
        <f t="shared" si="68"/>
        <v>137</v>
      </c>
      <c r="AN83" s="35">
        <f t="shared" si="68"/>
        <v>32</v>
      </c>
      <c r="AO83" s="35">
        <f t="shared" si="68"/>
        <v>2200.0299999999997</v>
      </c>
      <c r="AP83" s="35">
        <f t="shared" si="68"/>
        <v>676.4799999999999</v>
      </c>
      <c r="AQ83" s="39">
        <f t="shared" si="68"/>
        <v>6</v>
      </c>
      <c r="AR83" s="40">
        <f t="shared" si="68"/>
        <v>0</v>
      </c>
      <c r="AW83" s="1506"/>
      <c r="AX83" s="1506"/>
      <c r="AY83" s="1506"/>
      <c r="AZ83" s="1506"/>
      <c r="BA83" s="1506"/>
    </row>
    <row r="84" spans="1:53" ht="30" customHeight="1">
      <c r="A84" s="1526"/>
      <c r="B84" s="26" t="s">
        <v>25</v>
      </c>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8"/>
      <c r="AC84" s="27"/>
      <c r="AD84" s="27"/>
      <c r="AE84" s="27"/>
      <c r="AF84" s="27"/>
      <c r="AG84" s="27"/>
      <c r="AH84" s="27"/>
      <c r="AI84" s="27"/>
      <c r="AJ84" s="27"/>
      <c r="AK84" s="27"/>
      <c r="AL84" s="27"/>
      <c r="AM84" s="27"/>
      <c r="AN84" s="27"/>
      <c r="AO84" s="27"/>
      <c r="AP84" s="27"/>
      <c r="AQ84" s="29"/>
      <c r="AR84" s="30"/>
      <c r="AW84" s="1506"/>
      <c r="AX84" s="1506"/>
      <c r="AY84" s="1506"/>
      <c r="AZ84" s="1506"/>
      <c r="BA84" s="1506"/>
    </row>
    <row r="85" spans="1:53" ht="24.95" customHeight="1">
      <c r="A85" s="1526"/>
      <c r="B85" s="31" t="s">
        <v>108</v>
      </c>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8"/>
      <c r="AC85" s="27"/>
      <c r="AD85" s="27"/>
      <c r="AE85" s="27"/>
      <c r="AF85" s="27"/>
      <c r="AG85" s="27"/>
      <c r="AH85" s="27"/>
      <c r="AI85" s="27"/>
      <c r="AJ85" s="27"/>
      <c r="AK85" s="27"/>
      <c r="AL85" s="27"/>
      <c r="AM85" s="27"/>
      <c r="AN85" s="27"/>
      <c r="AO85" s="27"/>
      <c r="AP85" s="27"/>
      <c r="AQ85" s="29"/>
      <c r="AR85" s="30"/>
      <c r="AW85" s="1506"/>
      <c r="AX85" s="1506"/>
      <c r="AY85" s="1506"/>
      <c r="AZ85" s="1506"/>
      <c r="BA85" s="1506"/>
    </row>
    <row r="86" spans="1:53" ht="24.95" customHeight="1">
      <c r="A86" s="1526"/>
      <c r="B86" s="32" t="s">
        <v>114</v>
      </c>
      <c r="C86" s="1527"/>
      <c r="D86" s="1527"/>
      <c r="E86" s="1527"/>
      <c r="F86" s="1527"/>
      <c r="G86" s="1527"/>
      <c r="H86" s="1527"/>
      <c r="I86" s="1527"/>
      <c r="J86" s="1527"/>
      <c r="K86" s="1527"/>
      <c r="L86" s="1527"/>
      <c r="M86" s="1527"/>
      <c r="N86" s="1527"/>
      <c r="O86" s="1527"/>
      <c r="P86" s="1527"/>
      <c r="Q86" s="1527"/>
      <c r="R86" s="1527"/>
      <c r="S86" s="1527"/>
      <c r="T86" s="1527"/>
      <c r="U86" s="1527"/>
      <c r="V86" s="1527"/>
      <c r="W86" s="1527"/>
      <c r="X86" s="1527"/>
      <c r="Y86" s="1527"/>
      <c r="Z86" s="1527"/>
      <c r="AA86" s="1527"/>
      <c r="AB86" s="1528"/>
      <c r="AC86" s="1527"/>
      <c r="AD86" s="1527"/>
      <c r="AE86" s="1527"/>
      <c r="AF86" s="1527"/>
      <c r="AG86" s="1527"/>
      <c r="AH86" s="1527"/>
      <c r="AI86" s="1527"/>
      <c r="AJ86" s="1527"/>
      <c r="AK86" s="1527"/>
      <c r="AL86" s="1527"/>
      <c r="AM86" s="1527"/>
      <c r="AN86" s="1527"/>
      <c r="AO86" s="1527"/>
      <c r="AP86" s="1527"/>
      <c r="AQ86" s="1529"/>
      <c r="AR86" s="1530"/>
      <c r="AW86" s="1506"/>
      <c r="AX86" s="1506"/>
      <c r="AY86" s="1506"/>
      <c r="AZ86" s="1506"/>
      <c r="BA86" s="1506"/>
    </row>
    <row r="87" spans="1:53" ht="20.100000000000001" customHeight="1">
      <c r="A87" s="1526">
        <v>7</v>
      </c>
      <c r="B87" s="41" t="s">
        <v>49</v>
      </c>
      <c r="C87" s="33">
        <v>517</v>
      </c>
      <c r="D87" s="33">
        <v>0</v>
      </c>
      <c r="E87" s="33">
        <v>0</v>
      </c>
      <c r="F87" s="33">
        <v>0</v>
      </c>
      <c r="G87" s="33">
        <v>458</v>
      </c>
      <c r="H87" s="33">
        <v>0</v>
      </c>
      <c r="I87" s="33">
        <v>0</v>
      </c>
      <c r="J87" s="33">
        <v>0</v>
      </c>
      <c r="K87" s="33">
        <v>660</v>
      </c>
      <c r="L87" s="33">
        <v>0</v>
      </c>
      <c r="M87" s="33">
        <v>0</v>
      </c>
      <c r="N87" s="33">
        <v>0</v>
      </c>
      <c r="O87" s="33">
        <v>0</v>
      </c>
      <c r="P87" s="33">
        <v>0</v>
      </c>
      <c r="Q87" s="33">
        <v>753</v>
      </c>
      <c r="R87" s="33">
        <v>0</v>
      </c>
      <c r="S87" s="33">
        <v>0</v>
      </c>
      <c r="T87" s="33">
        <v>0</v>
      </c>
      <c r="U87" s="33">
        <v>0</v>
      </c>
      <c r="V87" s="33">
        <v>0</v>
      </c>
      <c r="W87" s="33">
        <v>0</v>
      </c>
      <c r="X87" s="33">
        <v>0</v>
      </c>
      <c r="Y87" s="33">
        <v>0</v>
      </c>
      <c r="Z87" s="33">
        <v>0</v>
      </c>
      <c r="AA87" s="33">
        <v>0</v>
      </c>
      <c r="AB87" s="34">
        <v>0</v>
      </c>
      <c r="AC87" s="33">
        <v>0</v>
      </c>
      <c r="AD87" s="33">
        <v>0</v>
      </c>
      <c r="AE87" s="33">
        <v>0</v>
      </c>
      <c r="AF87" s="33">
        <v>0</v>
      </c>
      <c r="AG87" s="33">
        <v>0</v>
      </c>
      <c r="AH87" s="33">
        <v>0</v>
      </c>
      <c r="AI87" s="33">
        <v>0</v>
      </c>
      <c r="AJ87" s="33">
        <v>0</v>
      </c>
      <c r="AK87" s="33">
        <v>0</v>
      </c>
      <c r="AL87" s="33">
        <v>0</v>
      </c>
      <c r="AM87" s="33">
        <v>0</v>
      </c>
      <c r="AN87" s="33">
        <v>0</v>
      </c>
      <c r="AO87" s="35">
        <f t="shared" ref="AO87:AP90" si="69">SUMIF($C$69:$AN$69,AO$69,$C87:$AN87)</f>
        <v>2388</v>
      </c>
      <c r="AP87" s="35">
        <f t="shared" si="69"/>
        <v>0</v>
      </c>
      <c r="AQ87" s="36">
        <v>0</v>
      </c>
      <c r="AR87" s="37">
        <v>0</v>
      </c>
      <c r="AW87" s="1506"/>
      <c r="AX87" s="1506"/>
      <c r="AY87" s="1506"/>
      <c r="AZ87" s="1506"/>
      <c r="BA87" s="1506"/>
    </row>
    <row r="88" spans="1:53" ht="20.100000000000001" customHeight="1">
      <c r="A88" s="1526">
        <v>8</v>
      </c>
      <c r="B88" s="41" t="s">
        <v>50</v>
      </c>
      <c r="C88" s="33">
        <v>67</v>
      </c>
      <c r="D88" s="33">
        <v>0</v>
      </c>
      <c r="E88" s="33">
        <v>0</v>
      </c>
      <c r="F88" s="33">
        <v>0</v>
      </c>
      <c r="G88" s="33">
        <v>258</v>
      </c>
      <c r="H88" s="33">
        <v>0</v>
      </c>
      <c r="I88" s="33">
        <v>0</v>
      </c>
      <c r="J88" s="33">
        <v>0</v>
      </c>
      <c r="K88" s="33">
        <v>0</v>
      </c>
      <c r="L88" s="33">
        <v>0</v>
      </c>
      <c r="M88" s="33">
        <v>0</v>
      </c>
      <c r="N88" s="33">
        <v>0</v>
      </c>
      <c r="O88" s="33">
        <v>0</v>
      </c>
      <c r="P88" s="33">
        <v>0</v>
      </c>
      <c r="Q88" s="33">
        <v>330</v>
      </c>
      <c r="R88" s="33">
        <v>0</v>
      </c>
      <c r="S88" s="33">
        <v>0</v>
      </c>
      <c r="T88" s="33">
        <v>0</v>
      </c>
      <c r="U88" s="33">
        <v>0</v>
      </c>
      <c r="V88" s="33">
        <v>0</v>
      </c>
      <c r="W88" s="33">
        <v>0</v>
      </c>
      <c r="X88" s="33">
        <v>0</v>
      </c>
      <c r="Y88" s="33">
        <v>0</v>
      </c>
      <c r="Z88" s="33">
        <v>0</v>
      </c>
      <c r="AA88" s="33">
        <v>0</v>
      </c>
      <c r="AB88" s="34">
        <v>0</v>
      </c>
      <c r="AC88" s="33">
        <v>0</v>
      </c>
      <c r="AD88" s="33">
        <v>0</v>
      </c>
      <c r="AE88" s="33">
        <v>0</v>
      </c>
      <c r="AF88" s="33">
        <v>0</v>
      </c>
      <c r="AG88" s="33">
        <v>0</v>
      </c>
      <c r="AH88" s="33">
        <v>0</v>
      </c>
      <c r="AI88" s="33">
        <v>0</v>
      </c>
      <c r="AJ88" s="33">
        <v>0</v>
      </c>
      <c r="AK88" s="33">
        <v>0</v>
      </c>
      <c r="AL88" s="33">
        <v>0</v>
      </c>
      <c r="AM88" s="33">
        <v>0</v>
      </c>
      <c r="AN88" s="33">
        <v>0</v>
      </c>
      <c r="AO88" s="35">
        <f t="shared" si="69"/>
        <v>655</v>
      </c>
      <c r="AP88" s="35">
        <f t="shared" si="69"/>
        <v>0</v>
      </c>
      <c r="AQ88" s="36">
        <v>0</v>
      </c>
      <c r="AR88" s="37">
        <v>0</v>
      </c>
      <c r="AW88" s="1506"/>
      <c r="AX88" s="1506"/>
      <c r="AY88" s="1506"/>
      <c r="AZ88" s="1506"/>
      <c r="BA88" s="1506"/>
    </row>
    <row r="89" spans="1:53" ht="20.100000000000001" customHeight="1">
      <c r="A89" s="1526">
        <v>9</v>
      </c>
      <c r="B89" s="41" t="s">
        <v>19</v>
      </c>
      <c r="C89" s="33">
        <v>230</v>
      </c>
      <c r="D89" s="33">
        <v>0</v>
      </c>
      <c r="E89" s="33">
        <v>0</v>
      </c>
      <c r="F89" s="33">
        <v>0</v>
      </c>
      <c r="G89" s="33">
        <v>224</v>
      </c>
      <c r="H89" s="33">
        <v>0</v>
      </c>
      <c r="I89" s="33">
        <v>0</v>
      </c>
      <c r="J89" s="33">
        <v>0</v>
      </c>
      <c r="K89" s="33">
        <v>218</v>
      </c>
      <c r="L89" s="33">
        <v>0</v>
      </c>
      <c r="M89" s="33">
        <v>0</v>
      </c>
      <c r="N89" s="33">
        <v>0</v>
      </c>
      <c r="O89" s="33">
        <v>0</v>
      </c>
      <c r="P89" s="33">
        <v>0</v>
      </c>
      <c r="Q89" s="33">
        <v>323</v>
      </c>
      <c r="R89" s="33">
        <v>0</v>
      </c>
      <c r="S89" s="33">
        <v>0</v>
      </c>
      <c r="T89" s="33">
        <v>0</v>
      </c>
      <c r="U89" s="33">
        <v>0</v>
      </c>
      <c r="V89" s="33">
        <v>0</v>
      </c>
      <c r="W89" s="33">
        <v>0</v>
      </c>
      <c r="X89" s="33">
        <v>0</v>
      </c>
      <c r="Y89" s="33">
        <v>0</v>
      </c>
      <c r="Z89" s="33">
        <v>0</v>
      </c>
      <c r="AA89" s="33">
        <v>0</v>
      </c>
      <c r="AB89" s="34">
        <v>0</v>
      </c>
      <c r="AC89" s="33">
        <v>0</v>
      </c>
      <c r="AD89" s="33">
        <v>0</v>
      </c>
      <c r="AE89" s="33">
        <v>0</v>
      </c>
      <c r="AF89" s="33">
        <v>0</v>
      </c>
      <c r="AG89" s="33">
        <v>249.5</v>
      </c>
      <c r="AH89" s="33">
        <v>0</v>
      </c>
      <c r="AI89" s="33">
        <v>0</v>
      </c>
      <c r="AJ89" s="33">
        <v>0</v>
      </c>
      <c r="AK89" s="33">
        <v>0</v>
      </c>
      <c r="AL89" s="33">
        <v>0</v>
      </c>
      <c r="AM89" s="33">
        <v>0</v>
      </c>
      <c r="AN89" s="33">
        <v>0</v>
      </c>
      <c r="AO89" s="35">
        <f t="shared" si="69"/>
        <v>1244.5</v>
      </c>
      <c r="AP89" s="35">
        <f t="shared" si="69"/>
        <v>0</v>
      </c>
      <c r="AQ89" s="36">
        <v>0</v>
      </c>
      <c r="AR89" s="37">
        <v>0</v>
      </c>
      <c r="AW89" s="1506"/>
      <c r="AX89" s="1506"/>
      <c r="AY89" s="1506"/>
      <c r="AZ89" s="1506"/>
      <c r="BA89" s="1506"/>
    </row>
    <row r="90" spans="1:53" ht="20.100000000000001" customHeight="1">
      <c r="A90" s="1526">
        <v>10</v>
      </c>
      <c r="B90" s="41" t="s">
        <v>20</v>
      </c>
      <c r="C90" s="33">
        <v>0</v>
      </c>
      <c r="D90" s="33">
        <v>0</v>
      </c>
      <c r="E90" s="33">
        <v>0</v>
      </c>
      <c r="F90" s="33">
        <v>0</v>
      </c>
      <c r="G90" s="33">
        <v>40</v>
      </c>
      <c r="H90" s="33">
        <v>0</v>
      </c>
      <c r="I90" s="33">
        <v>0</v>
      </c>
      <c r="J90" s="33">
        <v>0</v>
      </c>
      <c r="K90" s="33">
        <v>0</v>
      </c>
      <c r="L90" s="33">
        <v>0</v>
      </c>
      <c r="M90" s="33">
        <v>0</v>
      </c>
      <c r="N90" s="33">
        <v>0</v>
      </c>
      <c r="O90" s="33">
        <v>0</v>
      </c>
      <c r="P90" s="33">
        <v>0</v>
      </c>
      <c r="Q90" s="33">
        <v>65</v>
      </c>
      <c r="R90" s="33">
        <v>0</v>
      </c>
      <c r="S90" s="33">
        <v>0</v>
      </c>
      <c r="T90" s="33">
        <v>0</v>
      </c>
      <c r="U90" s="33">
        <v>0</v>
      </c>
      <c r="V90" s="33">
        <v>0</v>
      </c>
      <c r="W90" s="33">
        <v>0</v>
      </c>
      <c r="X90" s="33">
        <v>0</v>
      </c>
      <c r="Y90" s="33">
        <v>0</v>
      </c>
      <c r="Z90" s="33">
        <v>0</v>
      </c>
      <c r="AA90" s="33">
        <v>0</v>
      </c>
      <c r="AB90" s="34">
        <v>0</v>
      </c>
      <c r="AC90" s="33">
        <v>0</v>
      </c>
      <c r="AD90" s="33">
        <v>0</v>
      </c>
      <c r="AE90" s="33">
        <v>0</v>
      </c>
      <c r="AF90" s="33">
        <v>0</v>
      </c>
      <c r="AG90" s="33">
        <v>0</v>
      </c>
      <c r="AH90" s="33">
        <v>0</v>
      </c>
      <c r="AI90" s="33">
        <v>0</v>
      </c>
      <c r="AJ90" s="33">
        <v>0</v>
      </c>
      <c r="AK90" s="33">
        <v>0</v>
      </c>
      <c r="AL90" s="33">
        <v>0</v>
      </c>
      <c r="AM90" s="33">
        <v>0</v>
      </c>
      <c r="AN90" s="33">
        <v>0</v>
      </c>
      <c r="AO90" s="35">
        <f t="shared" si="69"/>
        <v>105</v>
      </c>
      <c r="AP90" s="35">
        <f t="shared" si="69"/>
        <v>0</v>
      </c>
      <c r="AQ90" s="36">
        <v>0</v>
      </c>
      <c r="AR90" s="37">
        <v>0</v>
      </c>
      <c r="AW90" s="1506"/>
      <c r="AX90" s="1506"/>
      <c r="AY90" s="1506"/>
      <c r="AZ90" s="1506"/>
      <c r="BA90" s="1506"/>
    </row>
    <row r="91" spans="1:53" ht="24.95" customHeight="1">
      <c r="A91" s="1526"/>
      <c r="B91" s="32" t="s">
        <v>21</v>
      </c>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8"/>
      <c r="AC91" s="27"/>
      <c r="AD91" s="27"/>
      <c r="AE91" s="27"/>
      <c r="AF91" s="27"/>
      <c r="AG91" s="27"/>
      <c r="AH91" s="27"/>
      <c r="AI91" s="27"/>
      <c r="AJ91" s="27"/>
      <c r="AK91" s="27"/>
      <c r="AL91" s="27"/>
      <c r="AM91" s="27"/>
      <c r="AN91" s="27"/>
      <c r="AO91" s="33"/>
      <c r="AP91" s="27"/>
      <c r="AQ91" s="29"/>
      <c r="AR91" s="30"/>
      <c r="AW91" s="1506"/>
      <c r="AX91" s="1506"/>
      <c r="AY91" s="1506"/>
      <c r="AZ91" s="1506"/>
      <c r="BA91" s="1506"/>
    </row>
    <row r="92" spans="1:53" ht="20.100000000000001" customHeight="1">
      <c r="A92" s="1526">
        <v>11</v>
      </c>
      <c r="B92" s="41" t="s">
        <v>118</v>
      </c>
      <c r="C92" s="33">
        <v>444.7</v>
      </c>
      <c r="D92" s="33">
        <v>2.2999999999999998</v>
      </c>
      <c r="E92" s="33">
        <v>0</v>
      </c>
      <c r="F92" s="33">
        <v>0</v>
      </c>
      <c r="G92" s="33">
        <v>247</v>
      </c>
      <c r="H92" s="33">
        <v>12.7</v>
      </c>
      <c r="I92" s="33">
        <v>0</v>
      </c>
      <c r="J92" s="33">
        <v>0</v>
      </c>
      <c r="K92" s="33">
        <v>455</v>
      </c>
      <c r="L92" s="33">
        <v>0.5</v>
      </c>
      <c r="M92" s="33">
        <v>0</v>
      </c>
      <c r="N92" s="33">
        <v>0</v>
      </c>
      <c r="O92" s="33">
        <v>0</v>
      </c>
      <c r="P92" s="33">
        <v>0</v>
      </c>
      <c r="Q92" s="33">
        <v>584</v>
      </c>
      <c r="R92" s="33">
        <v>6.4</v>
      </c>
      <c r="S92" s="33">
        <v>0</v>
      </c>
      <c r="T92" s="33">
        <v>0</v>
      </c>
      <c r="U92" s="33">
        <v>0</v>
      </c>
      <c r="V92" s="33">
        <v>0</v>
      </c>
      <c r="W92" s="33">
        <v>0</v>
      </c>
      <c r="X92" s="33">
        <v>0</v>
      </c>
      <c r="Y92" s="33">
        <v>0</v>
      </c>
      <c r="Z92" s="33">
        <v>0</v>
      </c>
      <c r="AA92" s="33">
        <v>0</v>
      </c>
      <c r="AB92" s="34">
        <v>0</v>
      </c>
      <c r="AC92" s="33">
        <v>0</v>
      </c>
      <c r="AD92" s="33">
        <v>0</v>
      </c>
      <c r="AE92" s="33">
        <v>0</v>
      </c>
      <c r="AF92" s="33">
        <v>0</v>
      </c>
      <c r="AG92" s="33">
        <v>0</v>
      </c>
      <c r="AH92" s="33">
        <v>0</v>
      </c>
      <c r="AI92" s="33">
        <v>157</v>
      </c>
      <c r="AJ92" s="33">
        <v>1</v>
      </c>
      <c r="AK92" s="33">
        <v>534</v>
      </c>
      <c r="AL92" s="33">
        <v>1</v>
      </c>
      <c r="AM92" s="33">
        <v>271</v>
      </c>
      <c r="AN92" s="33">
        <v>2.1666666666666665</v>
      </c>
      <c r="AO92" s="35">
        <f t="shared" ref="AO92:AP96" si="70">SUMIF($C$69:$AN$69,AO$69,$C92:$AN92)</f>
        <v>2692.7</v>
      </c>
      <c r="AP92" s="35">
        <f t="shared" si="70"/>
        <v>26.066666666666666</v>
      </c>
      <c r="AQ92" s="36">
        <v>0</v>
      </c>
      <c r="AR92" s="37">
        <v>0</v>
      </c>
      <c r="AW92" s="1506"/>
      <c r="AX92" s="1506"/>
      <c r="AY92" s="1506"/>
      <c r="AZ92" s="1506"/>
      <c r="BA92" s="1506"/>
    </row>
    <row r="93" spans="1:53" ht="20.100000000000001" customHeight="1">
      <c r="A93" s="1526">
        <v>12</v>
      </c>
      <c r="B93" s="41" t="s">
        <v>35</v>
      </c>
      <c r="C93" s="33">
        <v>59</v>
      </c>
      <c r="D93" s="33">
        <v>0</v>
      </c>
      <c r="E93" s="33">
        <v>0</v>
      </c>
      <c r="F93" s="33">
        <v>0</v>
      </c>
      <c r="G93" s="33">
        <v>0</v>
      </c>
      <c r="H93" s="33">
        <v>0</v>
      </c>
      <c r="I93" s="33">
        <v>0</v>
      </c>
      <c r="J93" s="33">
        <v>0</v>
      </c>
      <c r="K93" s="33">
        <v>0</v>
      </c>
      <c r="L93" s="33">
        <v>0</v>
      </c>
      <c r="M93" s="33">
        <v>0</v>
      </c>
      <c r="N93" s="33">
        <v>0</v>
      </c>
      <c r="O93" s="33">
        <v>0</v>
      </c>
      <c r="P93" s="33">
        <v>0</v>
      </c>
      <c r="Q93" s="33">
        <v>0</v>
      </c>
      <c r="R93" s="33">
        <v>0</v>
      </c>
      <c r="S93" s="33">
        <v>0</v>
      </c>
      <c r="T93" s="33">
        <v>0</v>
      </c>
      <c r="U93" s="33">
        <v>0</v>
      </c>
      <c r="V93" s="33">
        <v>0</v>
      </c>
      <c r="W93" s="33">
        <v>0</v>
      </c>
      <c r="X93" s="33">
        <v>0</v>
      </c>
      <c r="Y93" s="33">
        <v>0</v>
      </c>
      <c r="Z93" s="33">
        <v>0</v>
      </c>
      <c r="AA93" s="33">
        <v>0</v>
      </c>
      <c r="AB93" s="34">
        <v>0</v>
      </c>
      <c r="AC93" s="33">
        <v>85</v>
      </c>
      <c r="AD93" s="33">
        <v>0</v>
      </c>
      <c r="AE93" s="33">
        <v>0</v>
      </c>
      <c r="AF93" s="33">
        <v>0</v>
      </c>
      <c r="AG93" s="33">
        <v>0</v>
      </c>
      <c r="AH93" s="33">
        <v>0</v>
      </c>
      <c r="AI93" s="33">
        <v>0</v>
      </c>
      <c r="AJ93" s="33">
        <v>0</v>
      </c>
      <c r="AK93" s="33">
        <v>0</v>
      </c>
      <c r="AL93" s="33">
        <v>0</v>
      </c>
      <c r="AM93" s="33">
        <v>0</v>
      </c>
      <c r="AN93" s="33">
        <v>0</v>
      </c>
      <c r="AO93" s="35">
        <f t="shared" si="70"/>
        <v>144</v>
      </c>
      <c r="AP93" s="35">
        <f t="shared" si="70"/>
        <v>0</v>
      </c>
      <c r="AQ93" s="36">
        <v>0</v>
      </c>
      <c r="AR93" s="37">
        <v>0</v>
      </c>
      <c r="AW93" s="1506"/>
      <c r="AX93" s="1506"/>
      <c r="AY93" s="1506"/>
      <c r="AZ93" s="1506"/>
      <c r="BA93" s="1506"/>
    </row>
    <row r="94" spans="1:53" ht="20.100000000000001" customHeight="1">
      <c r="A94" s="1526">
        <v>13</v>
      </c>
      <c r="B94" s="41" t="s">
        <v>36</v>
      </c>
      <c r="C94" s="33">
        <v>0</v>
      </c>
      <c r="D94" s="33">
        <v>0</v>
      </c>
      <c r="E94" s="33">
        <v>0</v>
      </c>
      <c r="F94" s="33">
        <v>0</v>
      </c>
      <c r="G94" s="33">
        <v>0</v>
      </c>
      <c r="H94" s="33">
        <v>0</v>
      </c>
      <c r="I94" s="33">
        <v>0</v>
      </c>
      <c r="J94" s="33">
        <v>0</v>
      </c>
      <c r="K94" s="33">
        <v>370</v>
      </c>
      <c r="L94" s="33">
        <v>2</v>
      </c>
      <c r="M94" s="33">
        <v>0</v>
      </c>
      <c r="N94" s="33">
        <v>0</v>
      </c>
      <c r="O94" s="33">
        <v>0</v>
      </c>
      <c r="P94" s="33">
        <v>0</v>
      </c>
      <c r="Q94" s="33">
        <v>0</v>
      </c>
      <c r="R94" s="33">
        <v>0</v>
      </c>
      <c r="S94" s="33">
        <v>0</v>
      </c>
      <c r="T94" s="33">
        <v>0</v>
      </c>
      <c r="U94" s="33">
        <v>0</v>
      </c>
      <c r="V94" s="33">
        <v>0</v>
      </c>
      <c r="W94" s="33">
        <v>0</v>
      </c>
      <c r="X94" s="33">
        <v>0</v>
      </c>
      <c r="Y94" s="33">
        <v>0</v>
      </c>
      <c r="Z94" s="33">
        <v>0</v>
      </c>
      <c r="AA94" s="33">
        <v>0</v>
      </c>
      <c r="AB94" s="34">
        <v>0</v>
      </c>
      <c r="AC94" s="33">
        <v>0</v>
      </c>
      <c r="AD94" s="33">
        <v>0</v>
      </c>
      <c r="AE94" s="33">
        <v>0</v>
      </c>
      <c r="AF94" s="33">
        <v>0</v>
      </c>
      <c r="AG94" s="33">
        <v>0</v>
      </c>
      <c r="AH94" s="33">
        <v>0</v>
      </c>
      <c r="AI94" s="33">
        <v>0</v>
      </c>
      <c r="AJ94" s="33">
        <v>0</v>
      </c>
      <c r="AK94" s="33">
        <v>0</v>
      </c>
      <c r="AL94" s="33">
        <v>0</v>
      </c>
      <c r="AM94" s="33">
        <v>0</v>
      </c>
      <c r="AN94" s="33">
        <v>0</v>
      </c>
      <c r="AO94" s="35">
        <f t="shared" si="70"/>
        <v>370</v>
      </c>
      <c r="AP94" s="35">
        <f t="shared" si="70"/>
        <v>2</v>
      </c>
      <c r="AQ94" s="36">
        <v>0</v>
      </c>
      <c r="AR94" s="37">
        <v>0</v>
      </c>
      <c r="AW94" s="1506"/>
      <c r="AX94" s="1506"/>
      <c r="AY94" s="1506"/>
      <c r="AZ94" s="1506"/>
      <c r="BA94" s="1506"/>
    </row>
    <row r="95" spans="1:53" ht="20.100000000000001" customHeight="1">
      <c r="A95" s="1526">
        <v>14</v>
      </c>
      <c r="B95" s="41" t="s">
        <v>37</v>
      </c>
      <c r="C95" s="33">
        <v>0</v>
      </c>
      <c r="D95" s="33">
        <v>0</v>
      </c>
      <c r="E95" s="33">
        <v>0</v>
      </c>
      <c r="F95" s="33">
        <v>0</v>
      </c>
      <c r="G95" s="33">
        <v>0</v>
      </c>
      <c r="H95" s="33">
        <v>0</v>
      </c>
      <c r="I95" s="33">
        <v>0</v>
      </c>
      <c r="J95" s="33">
        <v>0</v>
      </c>
      <c r="K95" s="33">
        <v>0</v>
      </c>
      <c r="L95" s="33">
        <v>0</v>
      </c>
      <c r="M95" s="33">
        <v>0</v>
      </c>
      <c r="N95" s="33">
        <v>0</v>
      </c>
      <c r="O95" s="33">
        <v>0</v>
      </c>
      <c r="P95" s="33">
        <v>0</v>
      </c>
      <c r="Q95" s="33">
        <v>107</v>
      </c>
      <c r="R95" s="33">
        <v>1.6</v>
      </c>
      <c r="S95" s="33">
        <v>0</v>
      </c>
      <c r="T95" s="33">
        <v>0</v>
      </c>
      <c r="U95" s="33">
        <v>0</v>
      </c>
      <c r="V95" s="33">
        <v>0</v>
      </c>
      <c r="W95" s="33">
        <v>0</v>
      </c>
      <c r="X95" s="33">
        <v>0</v>
      </c>
      <c r="Y95" s="33">
        <v>0</v>
      </c>
      <c r="Z95" s="33">
        <v>0</v>
      </c>
      <c r="AA95" s="33">
        <v>0</v>
      </c>
      <c r="AB95" s="34">
        <v>0</v>
      </c>
      <c r="AC95" s="33">
        <v>0</v>
      </c>
      <c r="AD95" s="33">
        <v>0</v>
      </c>
      <c r="AE95" s="33">
        <v>0</v>
      </c>
      <c r="AF95" s="33">
        <v>0</v>
      </c>
      <c r="AG95" s="33">
        <v>0</v>
      </c>
      <c r="AH95" s="33">
        <v>0</v>
      </c>
      <c r="AI95" s="33">
        <v>0</v>
      </c>
      <c r="AJ95" s="33">
        <v>0</v>
      </c>
      <c r="AK95" s="33">
        <v>0</v>
      </c>
      <c r="AL95" s="33">
        <v>0</v>
      </c>
      <c r="AM95" s="33">
        <v>0</v>
      </c>
      <c r="AN95" s="33">
        <v>0</v>
      </c>
      <c r="AO95" s="35">
        <f t="shared" si="70"/>
        <v>107</v>
      </c>
      <c r="AP95" s="35">
        <f t="shared" si="70"/>
        <v>1.6</v>
      </c>
      <c r="AQ95" s="36">
        <v>0</v>
      </c>
      <c r="AR95" s="37">
        <v>0</v>
      </c>
      <c r="AW95" s="1506"/>
      <c r="AX95" s="1506"/>
      <c r="AY95" s="1506"/>
      <c r="AZ95" s="1506"/>
      <c r="BA95" s="1506"/>
    </row>
    <row r="96" spans="1:53" ht="24.95" customHeight="1">
      <c r="A96" s="1526">
        <v>15</v>
      </c>
      <c r="B96" s="42" t="s">
        <v>109</v>
      </c>
      <c r="C96" s="43">
        <v>0</v>
      </c>
      <c r="D96" s="43">
        <v>0</v>
      </c>
      <c r="E96" s="43">
        <v>0</v>
      </c>
      <c r="F96" s="43">
        <v>0</v>
      </c>
      <c r="G96" s="43">
        <v>1082.5</v>
      </c>
      <c r="H96" s="43">
        <v>0</v>
      </c>
      <c r="I96" s="43">
        <v>1506</v>
      </c>
      <c r="J96" s="43">
        <v>3</v>
      </c>
      <c r="K96" s="43">
        <v>0</v>
      </c>
      <c r="L96" s="43">
        <v>0</v>
      </c>
      <c r="M96" s="43">
        <v>1259</v>
      </c>
      <c r="N96" s="43">
        <v>52</v>
      </c>
      <c r="O96" s="43">
        <v>0</v>
      </c>
      <c r="P96" s="43">
        <v>0</v>
      </c>
      <c r="Q96" s="43">
        <v>0</v>
      </c>
      <c r="R96" s="43">
        <v>0</v>
      </c>
      <c r="S96" s="43">
        <v>0</v>
      </c>
      <c r="T96" s="43">
        <v>0</v>
      </c>
      <c r="U96" s="43">
        <v>0</v>
      </c>
      <c r="V96" s="43">
        <v>0</v>
      </c>
      <c r="W96" s="43">
        <v>0</v>
      </c>
      <c r="X96" s="43">
        <v>0</v>
      </c>
      <c r="Y96" s="43">
        <v>0</v>
      </c>
      <c r="Z96" s="43">
        <v>0</v>
      </c>
      <c r="AA96" s="43">
        <v>724</v>
      </c>
      <c r="AB96" s="44">
        <v>0</v>
      </c>
      <c r="AC96" s="43">
        <v>0</v>
      </c>
      <c r="AD96" s="43">
        <v>0</v>
      </c>
      <c r="AE96" s="43">
        <v>0</v>
      </c>
      <c r="AF96" s="43">
        <v>0</v>
      </c>
      <c r="AG96" s="43">
        <v>0</v>
      </c>
      <c r="AH96" s="43">
        <v>0</v>
      </c>
      <c r="AI96" s="43">
        <v>861.5</v>
      </c>
      <c r="AJ96" s="43">
        <v>26.78</v>
      </c>
      <c r="AK96" s="43">
        <v>0</v>
      </c>
      <c r="AL96" s="43">
        <v>0</v>
      </c>
      <c r="AM96" s="43">
        <v>1814</v>
      </c>
      <c r="AN96" s="43">
        <v>103.58333333333334</v>
      </c>
      <c r="AO96" s="45">
        <f t="shared" si="70"/>
        <v>7247</v>
      </c>
      <c r="AP96" s="45">
        <f t="shared" si="70"/>
        <v>185.36333333333334</v>
      </c>
      <c r="AQ96" s="46">
        <v>0</v>
      </c>
      <c r="AR96" s="47">
        <v>0</v>
      </c>
      <c r="AW96" s="1506"/>
      <c r="AX96" s="1506"/>
      <c r="AY96" s="1506"/>
      <c r="AZ96" s="1506"/>
      <c r="BA96" s="1506"/>
    </row>
    <row r="97" spans="1:53" ht="24.95" customHeight="1">
      <c r="A97" s="1526"/>
      <c r="B97" s="31" t="s">
        <v>110</v>
      </c>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8"/>
      <c r="AC97" s="27"/>
      <c r="AD97" s="27"/>
      <c r="AE97" s="27"/>
      <c r="AF97" s="27"/>
      <c r="AG97" s="27"/>
      <c r="AH97" s="27"/>
      <c r="AI97" s="27"/>
      <c r="AJ97" s="27"/>
      <c r="AK97" s="27"/>
      <c r="AL97" s="27"/>
      <c r="AM97" s="27"/>
      <c r="AN97" s="27"/>
      <c r="AO97" s="27"/>
      <c r="AP97" s="27"/>
      <c r="AQ97" s="29"/>
      <c r="AR97" s="30"/>
      <c r="AW97" s="1506"/>
      <c r="AX97" s="1506"/>
      <c r="AY97" s="1506"/>
      <c r="AZ97" s="1506"/>
      <c r="BA97" s="1506"/>
    </row>
    <row r="98" spans="1:53" ht="24.95" customHeight="1">
      <c r="A98" s="1526">
        <v>16</v>
      </c>
      <c r="B98" s="32" t="s">
        <v>115</v>
      </c>
      <c r="C98" s="33">
        <v>2777.8</v>
      </c>
      <c r="D98" s="33">
        <v>143.87</v>
      </c>
      <c r="E98" s="33">
        <v>2044.5</v>
      </c>
      <c r="F98" s="33">
        <v>57.5</v>
      </c>
      <c r="G98" s="33">
        <v>2000.5</v>
      </c>
      <c r="H98" s="33">
        <v>8.6999999999999993</v>
      </c>
      <c r="I98" s="33">
        <v>2724.6</v>
      </c>
      <c r="J98" s="33">
        <v>134.9</v>
      </c>
      <c r="K98" s="33">
        <v>4153.8</v>
      </c>
      <c r="L98" s="33">
        <v>67.2</v>
      </c>
      <c r="M98" s="33">
        <v>2454.8000000000002</v>
      </c>
      <c r="N98" s="33">
        <v>235.36</v>
      </c>
      <c r="O98" s="33">
        <v>136</v>
      </c>
      <c r="P98" s="33">
        <v>0</v>
      </c>
      <c r="Q98" s="33">
        <v>5222.1000000000004</v>
      </c>
      <c r="R98" s="33">
        <v>30.2</v>
      </c>
      <c r="S98" s="33">
        <v>3402.49</v>
      </c>
      <c r="T98" s="33">
        <v>25.93</v>
      </c>
      <c r="U98" s="33">
        <v>1443.4099999999999</v>
      </c>
      <c r="V98" s="33">
        <v>252.53</v>
      </c>
      <c r="W98" s="33">
        <v>0</v>
      </c>
      <c r="X98" s="33">
        <v>2374</v>
      </c>
      <c r="Y98" s="33">
        <v>368</v>
      </c>
      <c r="Z98" s="33">
        <v>5.92</v>
      </c>
      <c r="AA98" s="33">
        <v>1444.05</v>
      </c>
      <c r="AB98" s="34">
        <v>107.13999999999999</v>
      </c>
      <c r="AC98" s="33">
        <v>0</v>
      </c>
      <c r="AD98" s="33">
        <v>0</v>
      </c>
      <c r="AE98" s="33">
        <v>1005</v>
      </c>
      <c r="AF98" s="33">
        <v>53</v>
      </c>
      <c r="AG98" s="33">
        <v>1387.3</v>
      </c>
      <c r="AH98" s="33">
        <v>3.4</v>
      </c>
      <c r="AI98" s="33">
        <v>1762.8999999999999</v>
      </c>
      <c r="AJ98" s="33">
        <v>15.07</v>
      </c>
      <c r="AK98" s="33">
        <v>4797.3</v>
      </c>
      <c r="AL98" s="33">
        <v>110.92</v>
      </c>
      <c r="AM98" s="33">
        <v>3008.5</v>
      </c>
      <c r="AN98" s="33">
        <v>306.08333333333292</v>
      </c>
      <c r="AO98" s="35">
        <f>SUMIF($C$69:$AN$69,AO$69,$C98:$AN98)</f>
        <v>40133.049999999996</v>
      </c>
      <c r="AP98" s="35">
        <f>SUMIF($C$69:$AN$69,AP$69,$C98:$AN98)</f>
        <v>3931.7233333333334</v>
      </c>
      <c r="AQ98" s="36">
        <v>0</v>
      </c>
      <c r="AR98" s="37">
        <v>1509.9</v>
      </c>
      <c r="AW98" s="1506"/>
      <c r="AX98" s="1506"/>
      <c r="AY98" s="1506"/>
      <c r="AZ98" s="1506"/>
      <c r="BA98" s="1506"/>
    </row>
    <row r="99" spans="1:53" ht="24.95" customHeight="1">
      <c r="A99" s="1526">
        <v>17</v>
      </c>
      <c r="B99" s="32" t="s">
        <v>113</v>
      </c>
      <c r="C99" s="33">
        <v>4175.8</v>
      </c>
      <c r="D99" s="33">
        <v>284.89999999999998</v>
      </c>
      <c r="E99" s="33">
        <v>1728.5</v>
      </c>
      <c r="F99" s="33">
        <v>65.75</v>
      </c>
      <c r="G99" s="33">
        <v>3413.2999999999997</v>
      </c>
      <c r="H99" s="33">
        <v>371.5</v>
      </c>
      <c r="I99" s="33">
        <v>3593</v>
      </c>
      <c r="J99" s="33">
        <v>446.79999999999995</v>
      </c>
      <c r="K99" s="33">
        <v>6005.1</v>
      </c>
      <c r="L99" s="33">
        <v>260.3</v>
      </c>
      <c r="M99" s="33">
        <v>6289.7</v>
      </c>
      <c r="N99" s="33">
        <v>384.82</v>
      </c>
      <c r="O99" s="33">
        <v>974.5</v>
      </c>
      <c r="P99" s="33">
        <v>7.5</v>
      </c>
      <c r="Q99" s="33">
        <v>6811.63</v>
      </c>
      <c r="R99" s="33">
        <v>107.7</v>
      </c>
      <c r="S99" s="33">
        <v>1304.81</v>
      </c>
      <c r="T99" s="33">
        <v>7.89</v>
      </c>
      <c r="U99" s="33">
        <v>3034.59</v>
      </c>
      <c r="V99" s="33">
        <v>474.92</v>
      </c>
      <c r="W99" s="33">
        <v>0</v>
      </c>
      <c r="X99" s="33">
        <v>3654.7</v>
      </c>
      <c r="Y99" s="33">
        <v>2266</v>
      </c>
      <c r="Z99" s="33">
        <v>64.039999999999992</v>
      </c>
      <c r="AA99" s="33">
        <v>4772.45</v>
      </c>
      <c r="AB99" s="34">
        <v>380.59000000000003</v>
      </c>
      <c r="AC99" s="33">
        <v>514</v>
      </c>
      <c r="AD99" s="33">
        <v>0</v>
      </c>
      <c r="AE99" s="33">
        <v>318</v>
      </c>
      <c r="AF99" s="33">
        <v>37</v>
      </c>
      <c r="AG99" s="33">
        <v>1685.6999999999998</v>
      </c>
      <c r="AH99" s="33">
        <v>51.4</v>
      </c>
      <c r="AI99" s="33">
        <v>3052.3300000000004</v>
      </c>
      <c r="AJ99" s="33">
        <v>59.36</v>
      </c>
      <c r="AK99" s="33">
        <v>5122.5</v>
      </c>
      <c r="AL99" s="33">
        <v>233.3</v>
      </c>
      <c r="AM99" s="33">
        <v>5068</v>
      </c>
      <c r="AN99" s="33">
        <v>762.08333333333417</v>
      </c>
      <c r="AO99" s="35">
        <f>SUMIF($C$69:$AN$69,AO$69,$C99:$AN99)</f>
        <v>60129.909999999989</v>
      </c>
      <c r="AP99" s="35">
        <f>SUMIF($C$69:$AN$69,AP$69,$C99:$AN99)</f>
        <v>7654.5533333333333</v>
      </c>
      <c r="AQ99" s="36">
        <v>0</v>
      </c>
      <c r="AR99" s="37">
        <v>2422.5</v>
      </c>
      <c r="AW99" s="1506"/>
      <c r="AX99" s="1506"/>
      <c r="AY99" s="1506"/>
      <c r="AZ99" s="1506"/>
      <c r="BA99" s="1506"/>
    </row>
    <row r="100" spans="1:53" ht="30" customHeight="1">
      <c r="A100" s="1508"/>
      <c r="B100" s="31" t="s">
        <v>2</v>
      </c>
      <c r="C100" s="35">
        <f>SUM(C87:C99)</f>
        <v>8271.2999999999993</v>
      </c>
      <c r="D100" s="35">
        <f t="shared" ref="D100:M100" si="71">SUM(D87:D99)</f>
        <v>431.07</v>
      </c>
      <c r="E100" s="35">
        <f t="shared" si="71"/>
        <v>3773</v>
      </c>
      <c r="F100" s="35">
        <f t="shared" si="71"/>
        <v>123.25</v>
      </c>
      <c r="G100" s="35">
        <f t="shared" si="71"/>
        <v>7723.2999999999993</v>
      </c>
      <c r="H100" s="35">
        <f t="shared" si="71"/>
        <v>392.9</v>
      </c>
      <c r="I100" s="35">
        <f t="shared" si="71"/>
        <v>7823.6</v>
      </c>
      <c r="J100" s="35">
        <f t="shared" si="71"/>
        <v>584.69999999999993</v>
      </c>
      <c r="K100" s="35">
        <f t="shared" si="71"/>
        <v>11861.900000000001</v>
      </c>
      <c r="L100" s="35">
        <f t="shared" si="71"/>
        <v>330</v>
      </c>
      <c r="M100" s="35">
        <f t="shared" si="71"/>
        <v>10003.5</v>
      </c>
      <c r="N100" s="35">
        <f t="shared" ref="N100:AR100" si="72">SUM(N87:N99)</f>
        <v>672.18000000000006</v>
      </c>
      <c r="O100" s="35">
        <f t="shared" si="72"/>
        <v>1110.5</v>
      </c>
      <c r="P100" s="35">
        <f t="shared" si="72"/>
        <v>7.5</v>
      </c>
      <c r="Q100" s="35">
        <f t="shared" si="72"/>
        <v>14195.73</v>
      </c>
      <c r="R100" s="35">
        <f t="shared" si="72"/>
        <v>145.9</v>
      </c>
      <c r="S100" s="35">
        <f t="shared" si="72"/>
        <v>4707.2999999999993</v>
      </c>
      <c r="T100" s="35">
        <f t="shared" si="72"/>
        <v>33.82</v>
      </c>
      <c r="U100" s="35">
        <f t="shared" si="72"/>
        <v>4478</v>
      </c>
      <c r="V100" s="35">
        <f t="shared" si="72"/>
        <v>727.45</v>
      </c>
      <c r="W100" s="35">
        <f t="shared" si="72"/>
        <v>0</v>
      </c>
      <c r="X100" s="35">
        <f t="shared" si="72"/>
        <v>6028.7</v>
      </c>
      <c r="Y100" s="35">
        <f t="shared" si="72"/>
        <v>2634</v>
      </c>
      <c r="Z100" s="35">
        <f t="shared" si="72"/>
        <v>69.959999999999994</v>
      </c>
      <c r="AA100" s="35">
        <f t="shared" si="72"/>
        <v>6940.5</v>
      </c>
      <c r="AB100" s="38">
        <f t="shared" si="72"/>
        <v>487.73</v>
      </c>
      <c r="AC100" s="35">
        <f t="shared" si="72"/>
        <v>599</v>
      </c>
      <c r="AD100" s="35">
        <f t="shared" si="72"/>
        <v>0</v>
      </c>
      <c r="AE100" s="35">
        <f t="shared" si="72"/>
        <v>1323</v>
      </c>
      <c r="AF100" s="35">
        <f t="shared" si="72"/>
        <v>90</v>
      </c>
      <c r="AG100" s="35">
        <f t="shared" si="72"/>
        <v>3322.5</v>
      </c>
      <c r="AH100" s="35">
        <f t="shared" si="72"/>
        <v>54.8</v>
      </c>
      <c r="AI100" s="35">
        <f t="shared" si="72"/>
        <v>5833.73</v>
      </c>
      <c r="AJ100" s="35">
        <f t="shared" si="72"/>
        <v>102.21000000000001</v>
      </c>
      <c r="AK100" s="35">
        <f t="shared" si="72"/>
        <v>10453.799999999999</v>
      </c>
      <c r="AL100" s="35">
        <f t="shared" si="72"/>
        <v>345.22</v>
      </c>
      <c r="AM100" s="35">
        <f t="shared" si="72"/>
        <v>10161.5</v>
      </c>
      <c r="AN100" s="35">
        <f t="shared" si="72"/>
        <v>1173.916666666667</v>
      </c>
      <c r="AO100" s="35">
        <f t="shared" si="72"/>
        <v>115216.15999999999</v>
      </c>
      <c r="AP100" s="35">
        <f t="shared" si="72"/>
        <v>11801.306666666667</v>
      </c>
      <c r="AQ100" s="39">
        <f t="shared" si="72"/>
        <v>0</v>
      </c>
      <c r="AR100" s="40">
        <f t="shared" si="72"/>
        <v>3932.4</v>
      </c>
      <c r="AW100" s="1506"/>
      <c r="AX100" s="1506"/>
      <c r="AY100" s="1506"/>
      <c r="AZ100" s="1506"/>
      <c r="BA100" s="1506"/>
    </row>
    <row r="101" spans="1:53" ht="30" customHeight="1" thickBot="1">
      <c r="A101" s="1531">
        <v>18</v>
      </c>
      <c r="B101" s="1532" t="s">
        <v>116</v>
      </c>
      <c r="C101" s="48">
        <f>SUM(C72,C77,C83,C100)</f>
        <v>9413.5999999999985</v>
      </c>
      <c r="D101" s="48">
        <f t="shared" ref="D101:M101" si="73">SUM(D72,D77,D83,D100)</f>
        <v>684.93000000000006</v>
      </c>
      <c r="E101" s="48">
        <f t="shared" si="73"/>
        <v>3898</v>
      </c>
      <c r="F101" s="48">
        <f t="shared" si="73"/>
        <v>221.25</v>
      </c>
      <c r="G101" s="48">
        <f t="shared" si="73"/>
        <v>8703.4</v>
      </c>
      <c r="H101" s="48">
        <f t="shared" si="73"/>
        <v>1018.6999999999999</v>
      </c>
      <c r="I101" s="48">
        <f t="shared" si="73"/>
        <v>8401.6</v>
      </c>
      <c r="J101" s="48">
        <f t="shared" si="73"/>
        <v>828.5</v>
      </c>
      <c r="K101" s="48">
        <f t="shared" si="73"/>
        <v>14857.000000000002</v>
      </c>
      <c r="L101" s="48">
        <f t="shared" si="73"/>
        <v>833.4</v>
      </c>
      <c r="M101" s="48">
        <f t="shared" si="73"/>
        <v>10429.5</v>
      </c>
      <c r="N101" s="48">
        <f t="shared" ref="N101:AR101" si="74">SUM(N72,N77,N83,N100)</f>
        <v>822.98</v>
      </c>
      <c r="O101" s="48">
        <f t="shared" si="74"/>
        <v>1297.5</v>
      </c>
      <c r="P101" s="48">
        <f t="shared" si="74"/>
        <v>17.399999999999999</v>
      </c>
      <c r="Q101" s="48">
        <f t="shared" si="74"/>
        <v>16616.154999999999</v>
      </c>
      <c r="R101" s="48">
        <f t="shared" si="74"/>
        <v>749.26</v>
      </c>
      <c r="S101" s="48">
        <f t="shared" si="74"/>
        <v>5564.2999999999993</v>
      </c>
      <c r="T101" s="48">
        <f t="shared" si="74"/>
        <v>119.61000000000001</v>
      </c>
      <c r="U101" s="48">
        <f t="shared" si="74"/>
        <v>4551.5</v>
      </c>
      <c r="V101" s="48">
        <f t="shared" si="74"/>
        <v>823.13000000000011</v>
      </c>
      <c r="W101" s="48">
        <f t="shared" si="74"/>
        <v>8</v>
      </c>
      <c r="X101" s="48">
        <f t="shared" si="74"/>
        <v>6187.5</v>
      </c>
      <c r="Y101" s="48">
        <f t="shared" si="74"/>
        <v>2827</v>
      </c>
      <c r="Z101" s="48">
        <f t="shared" si="74"/>
        <v>257.37</v>
      </c>
      <c r="AA101" s="48">
        <f t="shared" si="74"/>
        <v>7182</v>
      </c>
      <c r="AB101" s="49">
        <f t="shared" si="74"/>
        <v>707.42000000000007</v>
      </c>
      <c r="AC101" s="48">
        <f t="shared" si="74"/>
        <v>653</v>
      </c>
      <c r="AD101" s="48">
        <f t="shared" si="74"/>
        <v>0</v>
      </c>
      <c r="AE101" s="48">
        <f t="shared" si="74"/>
        <v>1323</v>
      </c>
      <c r="AF101" s="48">
        <f t="shared" si="74"/>
        <v>96.5</v>
      </c>
      <c r="AG101" s="48">
        <f t="shared" si="74"/>
        <v>4148.1000000000004</v>
      </c>
      <c r="AH101" s="48">
        <f t="shared" si="74"/>
        <v>149.47</v>
      </c>
      <c r="AI101" s="48">
        <f t="shared" si="74"/>
        <v>6276.07</v>
      </c>
      <c r="AJ101" s="48">
        <f t="shared" si="74"/>
        <v>375.1400000000001</v>
      </c>
      <c r="AK101" s="48">
        <f t="shared" si="74"/>
        <v>12349.64</v>
      </c>
      <c r="AL101" s="48">
        <f t="shared" si="74"/>
        <v>523.35</v>
      </c>
      <c r="AM101" s="48">
        <f t="shared" si="74"/>
        <v>10786.5</v>
      </c>
      <c r="AN101" s="48">
        <f t="shared" si="74"/>
        <v>1479.2500000000002</v>
      </c>
      <c r="AO101" s="48">
        <f t="shared" si="74"/>
        <v>129285.86499999999</v>
      </c>
      <c r="AP101" s="48">
        <f t="shared" si="74"/>
        <v>15895.16</v>
      </c>
      <c r="AQ101" s="50">
        <f t="shared" si="74"/>
        <v>6</v>
      </c>
      <c r="AR101" s="51">
        <f t="shared" si="74"/>
        <v>4053.4</v>
      </c>
      <c r="AW101" s="1506"/>
      <c r="AX101" s="1506"/>
      <c r="AY101" s="1506"/>
      <c r="AZ101" s="1506"/>
      <c r="BA101" s="1506"/>
    </row>
    <row r="102" spans="1:53" ht="24.95" customHeight="1">
      <c r="A102" s="1533" t="s">
        <v>126</v>
      </c>
      <c r="C102" s="52">
        <v>9413.5999999999985</v>
      </c>
      <c r="D102" s="52">
        <v>684.93000000000006</v>
      </c>
      <c r="E102" s="52">
        <v>3898</v>
      </c>
      <c r="F102" s="52">
        <v>221.25</v>
      </c>
      <c r="G102" s="52">
        <v>8703.4</v>
      </c>
      <c r="H102" s="52">
        <v>1018.6999999999999</v>
      </c>
      <c r="I102" s="52">
        <v>8401.6</v>
      </c>
      <c r="J102" s="52">
        <v>828.5</v>
      </c>
      <c r="K102" s="52">
        <v>14857.000000000002</v>
      </c>
      <c r="L102" s="52">
        <v>833.4</v>
      </c>
      <c r="M102" s="52">
        <v>10429.5</v>
      </c>
      <c r="N102" s="52">
        <v>822.98</v>
      </c>
      <c r="O102" s="52">
        <v>1297.5</v>
      </c>
      <c r="P102" s="52">
        <v>17.399999999999999</v>
      </c>
      <c r="Q102" s="52">
        <v>16616.154999999999</v>
      </c>
      <c r="R102" s="52">
        <v>749.26</v>
      </c>
      <c r="S102" s="52">
        <v>5564.2999999999993</v>
      </c>
      <c r="T102" s="52">
        <v>119.61000000000001</v>
      </c>
      <c r="U102" s="52">
        <v>4551.5</v>
      </c>
      <c r="V102" s="52">
        <v>823.13000000000011</v>
      </c>
      <c r="W102" s="52">
        <v>8</v>
      </c>
      <c r="X102" s="52">
        <v>6187.5</v>
      </c>
      <c r="Y102" s="52">
        <v>2827</v>
      </c>
      <c r="Z102" s="52">
        <v>257.37</v>
      </c>
      <c r="AA102" s="52">
        <v>7182</v>
      </c>
      <c r="AB102" s="52">
        <v>707.42000000000007</v>
      </c>
      <c r="AC102" s="52">
        <v>653</v>
      </c>
      <c r="AD102" s="52">
        <v>0</v>
      </c>
      <c r="AE102" s="52">
        <v>1323</v>
      </c>
      <c r="AF102" s="52">
        <v>96.5</v>
      </c>
      <c r="AG102" s="52">
        <v>4148.1000000000004</v>
      </c>
      <c r="AH102" s="52">
        <v>149.47</v>
      </c>
      <c r="AI102" s="52">
        <v>6276.07</v>
      </c>
      <c r="AJ102" s="52">
        <v>375.1400000000001</v>
      </c>
      <c r="AK102" s="52">
        <v>12349.64</v>
      </c>
      <c r="AL102" s="52">
        <v>523.35</v>
      </c>
      <c r="AM102" s="52">
        <v>10786.5</v>
      </c>
      <c r="AN102" s="52">
        <v>1479.2500000000002</v>
      </c>
      <c r="AO102" s="52">
        <v>129285.86500000001</v>
      </c>
      <c r="AP102" s="52">
        <v>15895.16</v>
      </c>
      <c r="AQ102" s="52">
        <v>6</v>
      </c>
      <c r="AR102" s="52">
        <v>4053.4</v>
      </c>
    </row>
    <row r="104" spans="1:53" ht="20.100000000000001" customHeight="1">
      <c r="A104" s="1382" t="s">
        <v>285</v>
      </c>
    </row>
    <row r="106" spans="1:53" ht="20.100000000000001" customHeight="1">
      <c r="A106" s="1383" t="s">
        <v>153</v>
      </c>
    </row>
    <row r="107" spans="1:53" ht="20.100000000000001" customHeight="1">
      <c r="A107" s="1384">
        <v>1</v>
      </c>
      <c r="B107" s="1384">
        <v>2</v>
      </c>
      <c r="C107" s="1384">
        <v>3</v>
      </c>
      <c r="D107" s="1384">
        <v>4</v>
      </c>
      <c r="E107" s="1384">
        <v>5</v>
      </c>
      <c r="F107" s="1384">
        <v>6</v>
      </c>
      <c r="G107" s="1384">
        <v>7</v>
      </c>
      <c r="H107" s="1384">
        <v>8</v>
      </c>
      <c r="I107" s="1384">
        <v>9</v>
      </c>
      <c r="J107" s="1384">
        <v>10</v>
      </c>
      <c r="K107" s="1384">
        <v>11</v>
      </c>
      <c r="L107" s="1384">
        <v>12</v>
      </c>
      <c r="M107" s="1384">
        <v>13</v>
      </c>
      <c r="N107" s="1384">
        <v>14</v>
      </c>
      <c r="O107" s="1384">
        <v>15</v>
      </c>
      <c r="P107" s="1384">
        <v>16</v>
      </c>
      <c r="Q107" s="1384">
        <v>17</v>
      </c>
      <c r="R107" s="1384">
        <v>18</v>
      </c>
      <c r="S107" s="1384">
        <v>19</v>
      </c>
      <c r="T107" s="1384">
        <v>20</v>
      </c>
      <c r="U107" s="1384">
        <v>21</v>
      </c>
      <c r="V107" s="1384">
        <v>22</v>
      </c>
      <c r="W107" s="1384">
        <v>23</v>
      </c>
      <c r="X107" s="1384">
        <v>24</v>
      </c>
      <c r="Y107" s="1384">
        <v>25</v>
      </c>
      <c r="Z107" s="1384">
        <v>26</v>
      </c>
      <c r="AA107" s="1384">
        <v>27</v>
      </c>
      <c r="AB107" s="1384">
        <v>28</v>
      </c>
      <c r="AC107" s="1384">
        <v>29</v>
      </c>
      <c r="AD107" s="1384">
        <v>30</v>
      </c>
      <c r="AE107" s="1384">
        <v>31</v>
      </c>
      <c r="AF107" s="1384">
        <v>32</v>
      </c>
      <c r="AG107" s="1384">
        <v>33</v>
      </c>
      <c r="AH107" s="1384">
        <v>34</v>
      </c>
      <c r="AI107" s="1384">
        <v>35</v>
      </c>
      <c r="AJ107" s="1384">
        <v>36</v>
      </c>
      <c r="AK107" s="1384">
        <v>37</v>
      </c>
      <c r="AL107" s="1384">
        <v>38</v>
      </c>
      <c r="AM107" s="1384">
        <v>39</v>
      </c>
      <c r="AN107" s="1384">
        <v>40</v>
      </c>
      <c r="AO107" s="1384">
        <v>41</v>
      </c>
      <c r="AP107" s="1384">
        <v>42</v>
      </c>
      <c r="AQ107" s="1384">
        <v>43</v>
      </c>
      <c r="AR107" s="1384">
        <v>44</v>
      </c>
      <c r="AS107" s="1384"/>
      <c r="AT107" s="1384"/>
      <c r="AU107" s="1384"/>
    </row>
    <row r="108" spans="1:53" ht="15.75" thickBot="1"/>
    <row r="109" spans="1:53" ht="60" customHeight="1">
      <c r="A109" s="1385"/>
      <c r="B109" s="1534"/>
      <c r="C109" s="1788" t="s">
        <v>176</v>
      </c>
      <c r="D109" s="1791"/>
      <c r="E109" s="1786" t="s">
        <v>177</v>
      </c>
      <c r="F109" s="1781"/>
      <c r="G109" s="1788" t="s">
        <v>178</v>
      </c>
      <c r="H109" s="1791"/>
      <c r="I109" s="1792" t="s">
        <v>189</v>
      </c>
      <c r="J109" s="1781"/>
      <c r="K109" s="1788" t="s">
        <v>188</v>
      </c>
      <c r="L109" s="1791"/>
      <c r="M109" s="1786" t="s">
        <v>187</v>
      </c>
      <c r="N109" s="1788"/>
      <c r="O109" s="1775" t="s">
        <v>68</v>
      </c>
      <c r="P109" s="1781"/>
      <c r="Q109" s="1775" t="s">
        <v>69</v>
      </c>
      <c r="R109" s="1781"/>
      <c r="S109" s="1786" t="s">
        <v>190</v>
      </c>
      <c r="T109" s="1787"/>
      <c r="U109" s="1786" t="s">
        <v>186</v>
      </c>
      <c r="V109" s="1787"/>
      <c r="W109" s="1789" t="s">
        <v>193</v>
      </c>
      <c r="X109" s="1790"/>
      <c r="Y109" s="1786" t="s">
        <v>184</v>
      </c>
      <c r="Z109" s="1787"/>
      <c r="AA109" s="1786" t="s">
        <v>183</v>
      </c>
      <c r="AB109" s="1787"/>
      <c r="AC109" s="1779" t="s">
        <v>185</v>
      </c>
      <c r="AD109" s="1780"/>
      <c r="AE109" s="1775" t="s">
        <v>230</v>
      </c>
      <c r="AF109" s="1781"/>
      <c r="AG109" s="1786" t="s">
        <v>182</v>
      </c>
      <c r="AH109" s="1787"/>
      <c r="AI109" s="1786" t="s">
        <v>181</v>
      </c>
      <c r="AJ109" s="1787"/>
      <c r="AK109" s="1786" t="s">
        <v>180</v>
      </c>
      <c r="AL109" s="1787"/>
      <c r="AM109" s="1786" t="s">
        <v>179</v>
      </c>
      <c r="AN109" s="1787"/>
      <c r="AO109" s="1775" t="s">
        <v>2</v>
      </c>
      <c r="AP109" s="1791"/>
      <c r="AQ109" s="1777" t="s">
        <v>194</v>
      </c>
      <c r="AR109" s="1778"/>
    </row>
    <row r="110" spans="1:53" ht="24.95" customHeight="1">
      <c r="A110" s="1508"/>
      <c r="B110" s="1509" t="s">
        <v>195</v>
      </c>
      <c r="C110" s="1510" t="s">
        <v>62</v>
      </c>
      <c r="D110" s="1511" t="s">
        <v>48</v>
      </c>
      <c r="E110" s="1511" t="s">
        <v>62</v>
      </c>
      <c r="F110" s="1511" t="s">
        <v>48</v>
      </c>
      <c r="G110" s="1511" t="s">
        <v>62</v>
      </c>
      <c r="H110" s="1511" t="s">
        <v>48</v>
      </c>
      <c r="I110" s="1511" t="s">
        <v>62</v>
      </c>
      <c r="J110" s="1511" t="s">
        <v>48</v>
      </c>
      <c r="K110" s="1511" t="s">
        <v>62</v>
      </c>
      <c r="L110" s="1511" t="s">
        <v>48</v>
      </c>
      <c r="M110" s="1511" t="s">
        <v>62</v>
      </c>
      <c r="N110" s="1511" t="s">
        <v>48</v>
      </c>
      <c r="O110" s="1511" t="s">
        <v>62</v>
      </c>
      <c r="P110" s="1511" t="s">
        <v>48</v>
      </c>
      <c r="Q110" s="1511" t="s">
        <v>62</v>
      </c>
      <c r="R110" s="1511" t="s">
        <v>48</v>
      </c>
      <c r="S110" s="1511" t="s">
        <v>62</v>
      </c>
      <c r="T110" s="1511" t="s">
        <v>48</v>
      </c>
      <c r="U110" s="1511" t="s">
        <v>62</v>
      </c>
      <c r="V110" s="1511" t="s">
        <v>48</v>
      </c>
      <c r="W110" s="1535" t="s">
        <v>62</v>
      </c>
      <c r="X110" s="1535" t="s">
        <v>48</v>
      </c>
      <c r="Y110" s="1511" t="s">
        <v>62</v>
      </c>
      <c r="Z110" s="1511" t="s">
        <v>48</v>
      </c>
      <c r="AA110" s="1511" t="s">
        <v>62</v>
      </c>
      <c r="AB110" s="1511" t="s">
        <v>48</v>
      </c>
      <c r="AC110" s="1511" t="s">
        <v>62</v>
      </c>
      <c r="AD110" s="1511" t="s">
        <v>48</v>
      </c>
      <c r="AE110" s="1511" t="s">
        <v>62</v>
      </c>
      <c r="AF110" s="1511" t="s">
        <v>48</v>
      </c>
      <c r="AG110" s="1511" t="s">
        <v>62</v>
      </c>
      <c r="AH110" s="1511" t="s">
        <v>48</v>
      </c>
      <c r="AI110" s="1511" t="s">
        <v>62</v>
      </c>
      <c r="AJ110" s="1511" t="s">
        <v>48</v>
      </c>
      <c r="AK110" s="1511" t="s">
        <v>62</v>
      </c>
      <c r="AL110" s="1511" t="s">
        <v>48</v>
      </c>
      <c r="AM110" s="1511" t="s">
        <v>62</v>
      </c>
      <c r="AN110" s="1511" t="s">
        <v>48</v>
      </c>
      <c r="AO110" s="1511" t="s">
        <v>62</v>
      </c>
      <c r="AP110" s="1536" t="s">
        <v>48</v>
      </c>
      <c r="AQ110" s="1513" t="s">
        <v>62</v>
      </c>
      <c r="AR110" s="1512" t="s">
        <v>48</v>
      </c>
    </row>
    <row r="111" spans="1:53" ht="24.95" customHeight="1">
      <c r="A111" s="1514"/>
      <c r="B111" s="1537"/>
      <c r="C111" s="1510" t="s">
        <v>32</v>
      </c>
      <c r="D111" s="1421" t="s">
        <v>32</v>
      </c>
      <c r="E111" s="1420" t="s">
        <v>32</v>
      </c>
      <c r="F111" s="1421" t="s">
        <v>32</v>
      </c>
      <c r="G111" s="1420" t="s">
        <v>32</v>
      </c>
      <c r="H111" s="1419" t="s">
        <v>32</v>
      </c>
      <c r="I111" s="1419" t="s">
        <v>32</v>
      </c>
      <c r="J111" s="1419" t="s">
        <v>32</v>
      </c>
      <c r="K111" s="1419" t="s">
        <v>32</v>
      </c>
      <c r="L111" s="1419" t="s">
        <v>32</v>
      </c>
      <c r="M111" s="1419" t="s">
        <v>32</v>
      </c>
      <c r="N111" s="1419" t="s">
        <v>32</v>
      </c>
      <c r="O111" s="1419" t="s">
        <v>32</v>
      </c>
      <c r="P111" s="1420" t="s">
        <v>32</v>
      </c>
      <c r="Q111" s="1419" t="s">
        <v>32</v>
      </c>
      <c r="R111" s="1419" t="s">
        <v>32</v>
      </c>
      <c r="S111" s="1419" t="s">
        <v>32</v>
      </c>
      <c r="T111" s="1419" t="s">
        <v>32</v>
      </c>
      <c r="U111" s="1419" t="s">
        <v>32</v>
      </c>
      <c r="V111" s="1419" t="s">
        <v>32</v>
      </c>
      <c r="W111" s="1538" t="s">
        <v>32</v>
      </c>
      <c r="X111" s="1539" t="s">
        <v>32</v>
      </c>
      <c r="Y111" s="1420" t="s">
        <v>32</v>
      </c>
      <c r="Z111" s="1420" t="s">
        <v>32</v>
      </c>
      <c r="AA111" s="1420" t="s">
        <v>32</v>
      </c>
      <c r="AB111" s="1420" t="s">
        <v>32</v>
      </c>
      <c r="AC111" s="1420" t="s">
        <v>32</v>
      </c>
      <c r="AD111" s="1420" t="s">
        <v>32</v>
      </c>
      <c r="AE111" s="1420" t="s">
        <v>32</v>
      </c>
      <c r="AF111" s="1420" t="s">
        <v>32</v>
      </c>
      <c r="AG111" s="1419" t="s">
        <v>32</v>
      </c>
      <c r="AH111" s="1420" t="s">
        <v>32</v>
      </c>
      <c r="AI111" s="1420" t="s">
        <v>32</v>
      </c>
      <c r="AJ111" s="1420" t="s">
        <v>32</v>
      </c>
      <c r="AK111" s="1420" t="s">
        <v>32</v>
      </c>
      <c r="AL111" s="1420" t="s">
        <v>32</v>
      </c>
      <c r="AM111" s="1510" t="s">
        <v>32</v>
      </c>
      <c r="AN111" s="1420" t="s">
        <v>32</v>
      </c>
      <c r="AO111" s="1421" t="s">
        <v>32</v>
      </c>
      <c r="AP111" s="1421" t="s">
        <v>32</v>
      </c>
      <c r="AQ111" s="1516" t="s">
        <v>32</v>
      </c>
      <c r="AR111" s="1422" t="s">
        <v>32</v>
      </c>
    </row>
    <row r="112" spans="1:53" ht="24.95" customHeight="1">
      <c r="A112" s="1517"/>
      <c r="B112" s="1540"/>
      <c r="C112" s="1518" t="s">
        <v>4</v>
      </c>
      <c r="D112" s="1519" t="s">
        <v>5</v>
      </c>
      <c r="E112" s="1520" t="s">
        <v>6</v>
      </c>
      <c r="F112" s="1521" t="s">
        <v>7</v>
      </c>
      <c r="G112" s="1521" t="s">
        <v>8</v>
      </c>
      <c r="H112" s="1521" t="s">
        <v>9</v>
      </c>
      <c r="I112" s="1521" t="s">
        <v>59</v>
      </c>
      <c r="J112" s="1521" t="s">
        <v>60</v>
      </c>
      <c r="K112" s="1520" t="s">
        <v>61</v>
      </c>
      <c r="L112" s="1520" t="s">
        <v>10</v>
      </c>
      <c r="M112" s="1520" t="s">
        <v>11</v>
      </c>
      <c r="N112" s="1521" t="s">
        <v>12</v>
      </c>
      <c r="O112" s="1521" t="s">
        <v>13</v>
      </c>
      <c r="P112" s="1521" t="s">
        <v>14</v>
      </c>
      <c r="Q112" s="1521" t="s">
        <v>15</v>
      </c>
      <c r="R112" s="1521" t="s">
        <v>16</v>
      </c>
      <c r="S112" s="1521" t="s">
        <v>17</v>
      </c>
      <c r="T112" s="1521" t="s">
        <v>83</v>
      </c>
      <c r="U112" s="1520" t="s">
        <v>84</v>
      </c>
      <c r="V112" s="1426" t="s">
        <v>105</v>
      </c>
      <c r="W112" s="1541" t="s">
        <v>106</v>
      </c>
      <c r="X112" s="1542" t="s">
        <v>107</v>
      </c>
      <c r="Y112" s="1425" t="s">
        <v>139</v>
      </c>
      <c r="Z112" s="1521" t="s">
        <v>140</v>
      </c>
      <c r="AA112" s="1522" t="s">
        <v>141</v>
      </c>
      <c r="AB112" s="1521" t="s">
        <v>142</v>
      </c>
      <c r="AC112" s="1521" t="s">
        <v>143</v>
      </c>
      <c r="AD112" s="1521" t="s">
        <v>144</v>
      </c>
      <c r="AE112" s="1520" t="s">
        <v>145</v>
      </c>
      <c r="AF112" s="1521" t="s">
        <v>147</v>
      </c>
      <c r="AG112" s="1522" t="s">
        <v>146</v>
      </c>
      <c r="AH112" s="1521" t="s">
        <v>156</v>
      </c>
      <c r="AI112" s="1521" t="s">
        <v>157</v>
      </c>
      <c r="AJ112" s="1521" t="s">
        <v>158</v>
      </c>
      <c r="AK112" s="1521" t="s">
        <v>159</v>
      </c>
      <c r="AL112" s="1521" t="s">
        <v>160</v>
      </c>
      <c r="AM112" s="1523" t="s">
        <v>161</v>
      </c>
      <c r="AN112" s="1521" t="s">
        <v>172</v>
      </c>
      <c r="AO112" s="1520" t="s">
        <v>191</v>
      </c>
      <c r="AP112" s="1520" t="s">
        <v>192</v>
      </c>
      <c r="AQ112" s="1525" t="s">
        <v>222</v>
      </c>
      <c r="AR112" s="1524" t="s">
        <v>223</v>
      </c>
    </row>
    <row r="113" spans="1:44" ht="30" customHeight="1">
      <c r="A113" s="1526">
        <v>1</v>
      </c>
      <c r="B113" s="20" t="s">
        <v>26</v>
      </c>
      <c r="C113" s="21">
        <v>467.2</v>
      </c>
      <c r="D113" s="21">
        <v>79.3</v>
      </c>
      <c r="E113" s="21">
        <v>26</v>
      </c>
      <c r="F113" s="21">
        <v>14.6</v>
      </c>
      <c r="G113" s="21">
        <v>297.10000000000002</v>
      </c>
      <c r="H113" s="21">
        <v>56.8</v>
      </c>
      <c r="I113" s="21">
        <v>69</v>
      </c>
      <c r="J113" s="21">
        <v>42</v>
      </c>
      <c r="K113" s="21">
        <v>1666.9</v>
      </c>
      <c r="L113" s="21">
        <v>195.8</v>
      </c>
      <c r="M113" s="21">
        <v>117</v>
      </c>
      <c r="N113" s="21">
        <v>81.75</v>
      </c>
      <c r="O113" s="21">
        <v>18</v>
      </c>
      <c r="P113" s="21">
        <v>3.6</v>
      </c>
      <c r="Q113" s="21">
        <v>1193</v>
      </c>
      <c r="R113" s="21">
        <v>175.08</v>
      </c>
      <c r="S113" s="21">
        <v>345.15</v>
      </c>
      <c r="T113" s="21">
        <v>24.6</v>
      </c>
      <c r="U113" s="21">
        <v>34</v>
      </c>
      <c r="V113" s="21">
        <v>10.5</v>
      </c>
      <c r="W113" s="21"/>
      <c r="X113" s="21"/>
      <c r="Y113" s="21">
        <v>34</v>
      </c>
      <c r="Z113" s="21">
        <v>29.5</v>
      </c>
      <c r="AA113" s="21">
        <v>35</v>
      </c>
      <c r="AB113" s="21">
        <v>33</v>
      </c>
      <c r="AC113" s="21">
        <v>3</v>
      </c>
      <c r="AD113" s="21">
        <v>4.5</v>
      </c>
      <c r="AE113" s="21">
        <v>0</v>
      </c>
      <c r="AF113" s="21">
        <v>0</v>
      </c>
      <c r="AG113" s="21">
        <v>583.1</v>
      </c>
      <c r="AH113" s="21">
        <v>37.75</v>
      </c>
      <c r="AI113" s="21">
        <v>162.16</v>
      </c>
      <c r="AJ113" s="21">
        <v>85.62</v>
      </c>
      <c r="AK113" s="21">
        <v>788.24</v>
      </c>
      <c r="AL113" s="21">
        <v>59.8</v>
      </c>
      <c r="AM113" s="21">
        <v>179</v>
      </c>
      <c r="AN113" s="21">
        <v>71.666666666666657</v>
      </c>
      <c r="AO113" s="23">
        <f>SUMIF($C$69:$AN$69,AO$69,$C113:$AN113)</f>
        <v>6017.8499999999995</v>
      </c>
      <c r="AP113" s="23">
        <f>SUMIF($C$69:$AN$69,AP$69,$C113:$AN113)</f>
        <v>1005.8666666666667</v>
      </c>
      <c r="AQ113" s="631"/>
      <c r="AR113" s="25"/>
    </row>
    <row r="114" spans="1:44" ht="30" customHeight="1">
      <c r="A114" s="1526"/>
      <c r="B114" s="26" t="s">
        <v>23</v>
      </c>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27"/>
      <c r="AP114" s="27"/>
      <c r="AQ114" s="54"/>
      <c r="AR114" s="55"/>
    </row>
    <row r="115" spans="1:44" ht="24.95" customHeight="1">
      <c r="A115" s="1526"/>
      <c r="B115" s="31" t="s">
        <v>108</v>
      </c>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27"/>
      <c r="AP115" s="27"/>
      <c r="AQ115" s="54"/>
      <c r="AR115" s="55"/>
    </row>
    <row r="116" spans="1:44" ht="20.100000000000001" customHeight="1">
      <c r="A116" s="1526">
        <v>2</v>
      </c>
      <c r="B116" s="32" t="s">
        <v>109</v>
      </c>
      <c r="C116" s="34">
        <v>0</v>
      </c>
      <c r="D116" s="34">
        <v>0</v>
      </c>
      <c r="E116" s="34">
        <v>0</v>
      </c>
      <c r="F116" s="34">
        <v>0</v>
      </c>
      <c r="G116" s="34">
        <v>0</v>
      </c>
      <c r="H116" s="34">
        <v>0</v>
      </c>
      <c r="I116" s="34">
        <v>0</v>
      </c>
      <c r="J116" s="34">
        <v>0</v>
      </c>
      <c r="K116" s="34">
        <v>0</v>
      </c>
      <c r="L116" s="34">
        <v>0</v>
      </c>
      <c r="M116" s="34">
        <v>4</v>
      </c>
      <c r="N116" s="34">
        <v>0</v>
      </c>
      <c r="O116" s="34">
        <v>0</v>
      </c>
      <c r="P116" s="34">
        <v>0</v>
      </c>
      <c r="Q116" s="34">
        <v>0</v>
      </c>
      <c r="R116" s="34">
        <v>0</v>
      </c>
      <c r="S116" s="34">
        <v>0</v>
      </c>
      <c r="T116" s="34">
        <v>0</v>
      </c>
      <c r="U116" s="34">
        <v>0</v>
      </c>
      <c r="V116" s="34">
        <v>0</v>
      </c>
      <c r="W116" s="34"/>
      <c r="X116" s="34"/>
      <c r="Y116" s="34">
        <v>0</v>
      </c>
      <c r="Z116" s="34">
        <v>0</v>
      </c>
      <c r="AA116" s="34">
        <v>0</v>
      </c>
      <c r="AB116" s="34">
        <v>0</v>
      </c>
      <c r="AC116" s="34">
        <v>0</v>
      </c>
      <c r="AD116" s="34">
        <v>0</v>
      </c>
      <c r="AE116" s="34">
        <v>0</v>
      </c>
      <c r="AF116" s="34">
        <v>0</v>
      </c>
      <c r="AG116" s="34">
        <v>0</v>
      </c>
      <c r="AH116" s="34">
        <v>0</v>
      </c>
      <c r="AI116" s="34">
        <v>0</v>
      </c>
      <c r="AJ116" s="34">
        <v>0</v>
      </c>
      <c r="AK116" s="34">
        <v>0</v>
      </c>
      <c r="AL116" s="34">
        <v>0</v>
      </c>
      <c r="AM116" s="34">
        <v>110</v>
      </c>
      <c r="AN116" s="34">
        <v>0</v>
      </c>
      <c r="AO116" s="35">
        <f>SUMIF($C$69:$AN$69,AO$69,$C116:$AN116)</f>
        <v>114</v>
      </c>
      <c r="AP116" s="35">
        <f>SUMIF($C$69:$AN$69,AP$69,$C116:$AN116)</f>
        <v>0</v>
      </c>
      <c r="AQ116" s="36"/>
      <c r="AR116" s="37"/>
    </row>
    <row r="117" spans="1:44" ht="24.95" customHeight="1">
      <c r="A117" s="1526">
        <v>3</v>
      </c>
      <c r="B117" s="31" t="s">
        <v>110</v>
      </c>
      <c r="C117" s="34">
        <v>431.3</v>
      </c>
      <c r="D117" s="34">
        <v>55.9</v>
      </c>
      <c r="E117" s="34">
        <v>99</v>
      </c>
      <c r="F117" s="34">
        <v>83.3</v>
      </c>
      <c r="G117" s="34">
        <v>445</v>
      </c>
      <c r="H117" s="34">
        <v>455.6</v>
      </c>
      <c r="I117" s="34">
        <v>512</v>
      </c>
      <c r="J117" s="34">
        <v>210.6</v>
      </c>
      <c r="K117" s="34">
        <v>966</v>
      </c>
      <c r="L117" s="34">
        <v>208.6</v>
      </c>
      <c r="M117" s="34">
        <v>335</v>
      </c>
      <c r="N117" s="34">
        <v>120.17</v>
      </c>
      <c r="O117" s="34">
        <v>95</v>
      </c>
      <c r="P117" s="34">
        <v>0</v>
      </c>
      <c r="Q117" s="34">
        <v>870.33399999999995</v>
      </c>
      <c r="R117" s="34">
        <v>257.82400000000001</v>
      </c>
      <c r="S117" s="34">
        <v>518.45000000000005</v>
      </c>
      <c r="T117" s="34">
        <v>72.180000000000007</v>
      </c>
      <c r="U117" s="34">
        <v>17</v>
      </c>
      <c r="V117" s="34">
        <v>84.4</v>
      </c>
      <c r="W117" s="34"/>
      <c r="X117" s="34"/>
      <c r="Y117" s="34">
        <v>156</v>
      </c>
      <c r="Z117" s="34">
        <v>167.33</v>
      </c>
      <c r="AA117" s="34">
        <v>165</v>
      </c>
      <c r="AB117" s="34">
        <v>165.15</v>
      </c>
      <c r="AC117" s="34">
        <v>54</v>
      </c>
      <c r="AD117" s="34">
        <v>0</v>
      </c>
      <c r="AE117" s="34">
        <v>0</v>
      </c>
      <c r="AF117" s="34">
        <v>6</v>
      </c>
      <c r="AG117" s="34">
        <v>290.5</v>
      </c>
      <c r="AH117" s="34">
        <v>72.34</v>
      </c>
      <c r="AI117" s="34">
        <v>281.43</v>
      </c>
      <c r="AJ117" s="34">
        <v>174.36</v>
      </c>
      <c r="AK117" s="34">
        <v>377.55</v>
      </c>
      <c r="AL117" s="34">
        <v>83.4</v>
      </c>
      <c r="AM117" s="34">
        <v>199</v>
      </c>
      <c r="AN117" s="34">
        <v>194.75</v>
      </c>
      <c r="AO117" s="35">
        <f>SUMIF($C$69:$AN$69,AO$69,$C117:$AN117)</f>
        <v>5812.5640000000003</v>
      </c>
      <c r="AP117" s="35">
        <f>SUMIF($C$69:$AN$69,AP$69,$C117:$AN117)</f>
        <v>2411.9040000000005</v>
      </c>
      <c r="AQ117" s="36"/>
      <c r="AR117" s="37"/>
    </row>
    <row r="118" spans="1:44" ht="30" customHeight="1">
      <c r="A118" s="1526"/>
      <c r="B118" s="31" t="s">
        <v>2</v>
      </c>
      <c r="C118" s="35">
        <f t="shared" ref="C118" si="75">SUM(C116:C117)</f>
        <v>431.3</v>
      </c>
      <c r="D118" s="35">
        <f t="shared" ref="D118:E118" si="76">SUM(D116:D117)</f>
        <v>55.9</v>
      </c>
      <c r="E118" s="35">
        <f t="shared" si="76"/>
        <v>99</v>
      </c>
      <c r="F118" s="35">
        <f t="shared" ref="F118:AN118" si="77">SUM(F116:F117)</f>
        <v>83.3</v>
      </c>
      <c r="G118" s="35">
        <f t="shared" si="77"/>
        <v>445</v>
      </c>
      <c r="H118" s="35">
        <f t="shared" si="77"/>
        <v>455.6</v>
      </c>
      <c r="I118" s="35">
        <f t="shared" si="77"/>
        <v>512</v>
      </c>
      <c r="J118" s="35">
        <f t="shared" si="77"/>
        <v>210.6</v>
      </c>
      <c r="K118" s="35">
        <f t="shared" si="77"/>
        <v>966</v>
      </c>
      <c r="L118" s="35">
        <f t="shared" si="77"/>
        <v>208.6</v>
      </c>
      <c r="M118" s="35">
        <f t="shared" si="77"/>
        <v>339</v>
      </c>
      <c r="N118" s="35">
        <f t="shared" si="77"/>
        <v>120.17</v>
      </c>
      <c r="O118" s="35">
        <f t="shared" si="77"/>
        <v>95</v>
      </c>
      <c r="P118" s="35">
        <f t="shared" si="77"/>
        <v>0</v>
      </c>
      <c r="Q118" s="35">
        <f t="shared" si="77"/>
        <v>870.33399999999995</v>
      </c>
      <c r="R118" s="35">
        <f t="shared" si="77"/>
        <v>257.82400000000001</v>
      </c>
      <c r="S118" s="35">
        <f t="shared" si="77"/>
        <v>518.45000000000005</v>
      </c>
      <c r="T118" s="35">
        <f t="shared" si="77"/>
        <v>72.180000000000007</v>
      </c>
      <c r="U118" s="35">
        <f t="shared" si="77"/>
        <v>17</v>
      </c>
      <c r="V118" s="35">
        <f t="shared" si="77"/>
        <v>84.4</v>
      </c>
      <c r="W118" s="35"/>
      <c r="X118" s="35"/>
      <c r="Y118" s="35">
        <f t="shared" si="77"/>
        <v>156</v>
      </c>
      <c r="Z118" s="35">
        <f t="shared" si="77"/>
        <v>167.33</v>
      </c>
      <c r="AA118" s="35">
        <f t="shared" si="77"/>
        <v>165</v>
      </c>
      <c r="AB118" s="35">
        <f t="shared" si="77"/>
        <v>165.15</v>
      </c>
      <c r="AC118" s="35">
        <f t="shared" si="77"/>
        <v>54</v>
      </c>
      <c r="AD118" s="35">
        <f t="shared" si="77"/>
        <v>0</v>
      </c>
      <c r="AE118" s="35">
        <f t="shared" si="77"/>
        <v>0</v>
      </c>
      <c r="AF118" s="35">
        <f t="shared" si="77"/>
        <v>6</v>
      </c>
      <c r="AG118" s="35">
        <f t="shared" si="77"/>
        <v>290.5</v>
      </c>
      <c r="AH118" s="35">
        <f t="shared" si="77"/>
        <v>72.34</v>
      </c>
      <c r="AI118" s="35">
        <f t="shared" si="77"/>
        <v>281.43</v>
      </c>
      <c r="AJ118" s="35">
        <f t="shared" si="77"/>
        <v>174.36</v>
      </c>
      <c r="AK118" s="35">
        <f t="shared" si="77"/>
        <v>377.55</v>
      </c>
      <c r="AL118" s="35">
        <f t="shared" si="77"/>
        <v>83.4</v>
      </c>
      <c r="AM118" s="35">
        <f t="shared" si="77"/>
        <v>309</v>
      </c>
      <c r="AN118" s="35">
        <f t="shared" si="77"/>
        <v>194.75</v>
      </c>
      <c r="AO118" s="35">
        <f t="shared" ref="AO118:AP118" si="78">SUM(AO116:AO117)</f>
        <v>5926.5640000000003</v>
      </c>
      <c r="AP118" s="35">
        <f t="shared" si="78"/>
        <v>2411.9040000000005</v>
      </c>
      <c r="AQ118" s="632"/>
      <c r="AR118" s="40"/>
    </row>
    <row r="119" spans="1:44" ht="30" customHeight="1">
      <c r="A119" s="1526"/>
      <c r="B119" s="26" t="s">
        <v>24</v>
      </c>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27"/>
      <c r="AP119" s="27"/>
      <c r="AQ119" s="54"/>
      <c r="AR119" s="55"/>
    </row>
    <row r="120" spans="1:44" ht="24.95" customHeight="1">
      <c r="A120" s="1526"/>
      <c r="B120" s="31" t="s">
        <v>108</v>
      </c>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27"/>
      <c r="AP120" s="27"/>
      <c r="AQ120" s="54"/>
      <c r="AR120" s="55"/>
    </row>
    <row r="121" spans="1:44" ht="20.100000000000001" customHeight="1">
      <c r="A121" s="1526">
        <v>4</v>
      </c>
      <c r="B121" s="32" t="s">
        <v>111</v>
      </c>
      <c r="C121" s="34">
        <v>122.7</v>
      </c>
      <c r="D121" s="34">
        <v>16.5</v>
      </c>
      <c r="E121" s="34">
        <v>0</v>
      </c>
      <c r="F121" s="34">
        <v>0</v>
      </c>
      <c r="G121" s="34">
        <v>127</v>
      </c>
      <c r="H121" s="34">
        <v>0</v>
      </c>
      <c r="I121" s="34">
        <v>0</v>
      </c>
      <c r="J121" s="34">
        <v>0</v>
      </c>
      <c r="K121" s="34">
        <v>115</v>
      </c>
      <c r="L121" s="34">
        <v>0</v>
      </c>
      <c r="M121" s="34">
        <v>0</v>
      </c>
      <c r="N121" s="34">
        <v>0</v>
      </c>
      <c r="O121" s="34">
        <v>0</v>
      </c>
      <c r="P121" s="34">
        <v>0</v>
      </c>
      <c r="Q121" s="34">
        <v>166</v>
      </c>
      <c r="R121" s="34">
        <v>0.5</v>
      </c>
      <c r="S121" s="34">
        <v>0</v>
      </c>
      <c r="T121" s="34">
        <v>0</v>
      </c>
      <c r="U121" s="34">
        <v>20</v>
      </c>
      <c r="V121" s="34">
        <v>0</v>
      </c>
      <c r="W121" s="34"/>
      <c r="X121" s="34"/>
      <c r="Y121" s="34">
        <v>0</v>
      </c>
      <c r="Z121" s="34">
        <v>0</v>
      </c>
      <c r="AA121" s="34">
        <v>0</v>
      </c>
      <c r="AB121" s="34">
        <v>0</v>
      </c>
      <c r="AC121" s="34">
        <v>0</v>
      </c>
      <c r="AD121" s="34">
        <v>0</v>
      </c>
      <c r="AE121" s="34">
        <v>0</v>
      </c>
      <c r="AF121" s="34">
        <v>0</v>
      </c>
      <c r="AG121" s="34">
        <v>0</v>
      </c>
      <c r="AH121" s="34">
        <v>0</v>
      </c>
      <c r="AI121" s="34">
        <v>0</v>
      </c>
      <c r="AJ121" s="34">
        <v>0</v>
      </c>
      <c r="AK121" s="34">
        <v>281</v>
      </c>
      <c r="AL121" s="34">
        <v>0.2</v>
      </c>
      <c r="AM121" s="34">
        <v>80</v>
      </c>
      <c r="AN121" s="34">
        <v>1.833333333333333</v>
      </c>
      <c r="AO121" s="35">
        <f t="shared" ref="AO121:AP123" si="79">SUMIF($C$69:$AN$69,AO$69,$C121:$AN121)</f>
        <v>911.7</v>
      </c>
      <c r="AP121" s="35">
        <f t="shared" si="79"/>
        <v>19.033333333333331</v>
      </c>
      <c r="AQ121" s="36"/>
      <c r="AR121" s="37"/>
    </row>
    <row r="122" spans="1:44" ht="20.100000000000001" customHeight="1">
      <c r="A122" s="1526">
        <v>5</v>
      </c>
      <c r="B122" s="32" t="s">
        <v>112</v>
      </c>
      <c r="C122" s="34">
        <v>97.9</v>
      </c>
      <c r="D122" s="34">
        <v>0.6</v>
      </c>
      <c r="E122" s="34">
        <v>0</v>
      </c>
      <c r="F122" s="34">
        <v>0</v>
      </c>
      <c r="G122" s="34">
        <v>28</v>
      </c>
      <c r="H122" s="34">
        <v>0</v>
      </c>
      <c r="I122" s="34">
        <v>0</v>
      </c>
      <c r="J122" s="34">
        <v>0</v>
      </c>
      <c r="K122" s="34">
        <v>164</v>
      </c>
      <c r="L122" s="34">
        <v>0</v>
      </c>
      <c r="M122" s="34">
        <v>0</v>
      </c>
      <c r="N122" s="34">
        <v>0</v>
      </c>
      <c r="O122" s="34">
        <v>0</v>
      </c>
      <c r="P122" s="34">
        <v>0</v>
      </c>
      <c r="Q122" s="34">
        <v>145</v>
      </c>
      <c r="R122" s="34">
        <v>3</v>
      </c>
      <c r="S122" s="34">
        <v>0</v>
      </c>
      <c r="T122" s="34">
        <v>0</v>
      </c>
      <c r="U122" s="34">
        <v>0</v>
      </c>
      <c r="V122" s="34">
        <v>0</v>
      </c>
      <c r="W122" s="34"/>
      <c r="X122" s="34"/>
      <c r="Y122" s="34">
        <v>0</v>
      </c>
      <c r="Z122" s="34">
        <v>0</v>
      </c>
      <c r="AA122" s="34">
        <v>0</v>
      </c>
      <c r="AB122" s="34">
        <v>0</v>
      </c>
      <c r="AC122" s="34">
        <v>0</v>
      </c>
      <c r="AD122" s="34">
        <v>0</v>
      </c>
      <c r="AE122" s="34">
        <v>0</v>
      </c>
      <c r="AF122" s="34">
        <v>0</v>
      </c>
      <c r="AG122" s="34">
        <v>0</v>
      </c>
      <c r="AH122" s="34">
        <v>0</v>
      </c>
      <c r="AI122" s="34">
        <v>0</v>
      </c>
      <c r="AJ122" s="34">
        <v>0</v>
      </c>
      <c r="AK122" s="34">
        <v>369</v>
      </c>
      <c r="AL122" s="34">
        <v>7.43</v>
      </c>
      <c r="AM122" s="34">
        <v>56</v>
      </c>
      <c r="AN122" s="34">
        <v>0</v>
      </c>
      <c r="AO122" s="35">
        <f t="shared" si="79"/>
        <v>859.9</v>
      </c>
      <c r="AP122" s="35">
        <f t="shared" si="79"/>
        <v>11.03</v>
      </c>
      <c r="AQ122" s="36"/>
      <c r="AR122" s="37"/>
    </row>
    <row r="123" spans="1:44" ht="24.95" customHeight="1">
      <c r="A123" s="1526">
        <v>6</v>
      </c>
      <c r="B123" s="31" t="s">
        <v>110</v>
      </c>
      <c r="C123" s="34">
        <v>1</v>
      </c>
      <c r="D123" s="34">
        <v>92.9</v>
      </c>
      <c r="E123" s="34">
        <v>0</v>
      </c>
      <c r="F123" s="34">
        <v>0</v>
      </c>
      <c r="G123" s="34">
        <v>83</v>
      </c>
      <c r="H123" s="34">
        <v>97.5</v>
      </c>
      <c r="I123" s="34">
        <v>0</v>
      </c>
      <c r="J123" s="34">
        <v>0</v>
      </c>
      <c r="K123" s="34">
        <v>83</v>
      </c>
      <c r="L123" s="34">
        <v>68.5</v>
      </c>
      <c r="M123" s="34">
        <v>0</v>
      </c>
      <c r="N123" s="34">
        <v>0</v>
      </c>
      <c r="O123" s="34">
        <v>72</v>
      </c>
      <c r="P123" s="34">
        <v>8.6999999999999993</v>
      </c>
      <c r="Q123" s="34">
        <v>42.665999999999997</v>
      </c>
      <c r="R123" s="34">
        <v>271.66699699999998</v>
      </c>
      <c r="S123" s="34">
        <v>0</v>
      </c>
      <c r="T123" s="34">
        <v>0</v>
      </c>
      <c r="U123" s="34">
        <v>0</v>
      </c>
      <c r="V123" s="34">
        <v>0</v>
      </c>
      <c r="W123" s="34"/>
      <c r="X123" s="34"/>
      <c r="Y123" s="34">
        <v>0</v>
      </c>
      <c r="Z123" s="34">
        <v>0</v>
      </c>
      <c r="AA123" s="34">
        <v>34</v>
      </c>
      <c r="AB123" s="34">
        <v>0</v>
      </c>
      <c r="AC123" s="34">
        <v>0</v>
      </c>
      <c r="AD123" s="34">
        <v>0</v>
      </c>
      <c r="AE123" s="34">
        <v>0</v>
      </c>
      <c r="AF123" s="34">
        <v>0</v>
      </c>
      <c r="AG123" s="34">
        <v>0</v>
      </c>
      <c r="AH123" s="34">
        <v>0</v>
      </c>
      <c r="AI123" s="34">
        <v>12.5</v>
      </c>
      <c r="AJ123" s="34">
        <v>16.12</v>
      </c>
      <c r="AK123" s="34">
        <v>69.930000000000007</v>
      </c>
      <c r="AL123" s="34">
        <v>80.38</v>
      </c>
      <c r="AM123" s="34">
        <v>0</v>
      </c>
      <c r="AN123" s="34">
        <v>35.666666666666671</v>
      </c>
      <c r="AO123" s="35">
        <f t="shared" si="79"/>
        <v>398.096</v>
      </c>
      <c r="AP123" s="35">
        <f t="shared" si="79"/>
        <v>671.43366366666658</v>
      </c>
      <c r="AQ123" s="36"/>
      <c r="AR123" s="37"/>
    </row>
    <row r="124" spans="1:44" ht="30" customHeight="1">
      <c r="A124" s="1526"/>
      <c r="B124" s="31" t="s">
        <v>2</v>
      </c>
      <c r="C124" s="35">
        <f t="shared" ref="C124" si="80">SUM(C121:C123)</f>
        <v>221.60000000000002</v>
      </c>
      <c r="D124" s="35">
        <f t="shared" ref="D124:E124" si="81">SUM(D121:D123)</f>
        <v>110</v>
      </c>
      <c r="E124" s="35">
        <f t="shared" si="81"/>
        <v>0</v>
      </c>
      <c r="F124" s="35">
        <f t="shared" ref="F124:AN124" si="82">SUM(F121:F123)</f>
        <v>0</v>
      </c>
      <c r="G124" s="35">
        <f t="shared" si="82"/>
        <v>238</v>
      </c>
      <c r="H124" s="35">
        <f t="shared" si="82"/>
        <v>97.5</v>
      </c>
      <c r="I124" s="35">
        <f t="shared" si="82"/>
        <v>0</v>
      </c>
      <c r="J124" s="35">
        <f t="shared" si="82"/>
        <v>0</v>
      </c>
      <c r="K124" s="35">
        <f t="shared" si="82"/>
        <v>362</v>
      </c>
      <c r="L124" s="35">
        <f t="shared" si="82"/>
        <v>68.5</v>
      </c>
      <c r="M124" s="35">
        <f t="shared" si="82"/>
        <v>0</v>
      </c>
      <c r="N124" s="35">
        <f t="shared" si="82"/>
        <v>0</v>
      </c>
      <c r="O124" s="35">
        <f t="shared" si="82"/>
        <v>72</v>
      </c>
      <c r="P124" s="35">
        <f t="shared" si="82"/>
        <v>8.6999999999999993</v>
      </c>
      <c r="Q124" s="35">
        <f t="shared" si="82"/>
        <v>353.666</v>
      </c>
      <c r="R124" s="35">
        <f t="shared" si="82"/>
        <v>275.16699699999998</v>
      </c>
      <c r="S124" s="35">
        <f t="shared" si="82"/>
        <v>0</v>
      </c>
      <c r="T124" s="35">
        <f t="shared" si="82"/>
        <v>0</v>
      </c>
      <c r="U124" s="35">
        <f t="shared" si="82"/>
        <v>20</v>
      </c>
      <c r="V124" s="35">
        <f t="shared" si="82"/>
        <v>0</v>
      </c>
      <c r="W124" s="35"/>
      <c r="X124" s="35"/>
      <c r="Y124" s="35">
        <f t="shared" si="82"/>
        <v>0</v>
      </c>
      <c r="Z124" s="35">
        <f t="shared" si="82"/>
        <v>0</v>
      </c>
      <c r="AA124" s="35">
        <f t="shared" si="82"/>
        <v>34</v>
      </c>
      <c r="AB124" s="35">
        <f t="shared" si="82"/>
        <v>0</v>
      </c>
      <c r="AC124" s="35">
        <f t="shared" si="82"/>
        <v>0</v>
      </c>
      <c r="AD124" s="35">
        <f t="shared" si="82"/>
        <v>0</v>
      </c>
      <c r="AE124" s="35">
        <f t="shared" si="82"/>
        <v>0</v>
      </c>
      <c r="AF124" s="35">
        <f t="shared" si="82"/>
        <v>0</v>
      </c>
      <c r="AG124" s="35">
        <f t="shared" si="82"/>
        <v>0</v>
      </c>
      <c r="AH124" s="35">
        <f t="shared" si="82"/>
        <v>0</v>
      </c>
      <c r="AI124" s="35">
        <f t="shared" si="82"/>
        <v>12.5</v>
      </c>
      <c r="AJ124" s="35">
        <f t="shared" si="82"/>
        <v>16.12</v>
      </c>
      <c r="AK124" s="35">
        <f t="shared" si="82"/>
        <v>719.93000000000006</v>
      </c>
      <c r="AL124" s="35">
        <f t="shared" si="82"/>
        <v>88.009999999999991</v>
      </c>
      <c r="AM124" s="35">
        <f t="shared" si="82"/>
        <v>136</v>
      </c>
      <c r="AN124" s="35">
        <f t="shared" si="82"/>
        <v>37.500000000000007</v>
      </c>
      <c r="AO124" s="35">
        <f t="shared" ref="AO124:AP124" si="83">SUM(AO121:AO123)</f>
        <v>2169.6959999999999</v>
      </c>
      <c r="AP124" s="35">
        <f t="shared" si="83"/>
        <v>701.49699699999996</v>
      </c>
      <c r="AQ124" s="632"/>
      <c r="AR124" s="40"/>
    </row>
    <row r="125" spans="1:44" ht="30" customHeight="1">
      <c r="A125" s="1526"/>
      <c r="B125" s="26" t="s">
        <v>25</v>
      </c>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27"/>
      <c r="AP125" s="27"/>
      <c r="AQ125" s="54"/>
      <c r="AR125" s="55"/>
    </row>
    <row r="126" spans="1:44" ht="24.95" customHeight="1">
      <c r="A126" s="1526"/>
      <c r="B126" s="31" t="s">
        <v>108</v>
      </c>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27"/>
      <c r="AP126" s="27"/>
      <c r="AQ126" s="54"/>
      <c r="AR126" s="55"/>
    </row>
    <row r="127" spans="1:44" ht="24.95" customHeight="1">
      <c r="A127" s="1526"/>
      <c r="B127" s="32" t="s">
        <v>114</v>
      </c>
      <c r="C127" s="1543"/>
      <c r="D127" s="1543"/>
      <c r="E127" s="1543"/>
      <c r="F127" s="1543"/>
      <c r="G127" s="1543"/>
      <c r="H127" s="1543"/>
      <c r="I127" s="1543"/>
      <c r="J127" s="1543"/>
      <c r="K127" s="1543"/>
      <c r="L127" s="1543"/>
      <c r="M127" s="1543"/>
      <c r="N127" s="1543"/>
      <c r="O127" s="1543"/>
      <c r="P127" s="1543"/>
      <c r="Q127" s="1543"/>
      <c r="R127" s="1543"/>
      <c r="S127" s="1543"/>
      <c r="T127" s="1543"/>
      <c r="U127" s="1543"/>
      <c r="V127" s="1543"/>
      <c r="W127" s="1543"/>
      <c r="X127" s="1543"/>
      <c r="Y127" s="1543"/>
      <c r="Z127" s="1543"/>
      <c r="AA127" s="1543"/>
      <c r="AB127" s="1543"/>
      <c r="AC127" s="1543"/>
      <c r="AD127" s="1543"/>
      <c r="AE127" s="1543"/>
      <c r="AF127" s="1543"/>
      <c r="AG127" s="1543"/>
      <c r="AH127" s="1543"/>
      <c r="AI127" s="1543"/>
      <c r="AJ127" s="1543"/>
      <c r="AK127" s="1543"/>
      <c r="AL127" s="1543"/>
      <c r="AM127" s="1543"/>
      <c r="AN127" s="1543"/>
      <c r="AO127" s="1527"/>
      <c r="AP127" s="1527"/>
      <c r="AQ127" s="1544"/>
      <c r="AR127" s="1545"/>
    </row>
    <row r="128" spans="1:44" ht="20.100000000000001" customHeight="1">
      <c r="A128" s="1526">
        <v>7</v>
      </c>
      <c r="B128" s="41" t="s">
        <v>49</v>
      </c>
      <c r="C128" s="34">
        <v>515</v>
      </c>
      <c r="D128" s="34">
        <v>1</v>
      </c>
      <c r="E128" s="34">
        <v>0</v>
      </c>
      <c r="F128" s="34">
        <v>0</v>
      </c>
      <c r="G128" s="34">
        <v>457</v>
      </c>
      <c r="H128" s="34">
        <v>0</v>
      </c>
      <c r="I128" s="34">
        <v>0</v>
      </c>
      <c r="J128" s="34">
        <v>0</v>
      </c>
      <c r="K128" s="34">
        <v>659.5</v>
      </c>
      <c r="L128" s="34">
        <v>0</v>
      </c>
      <c r="M128" s="34">
        <v>0</v>
      </c>
      <c r="N128" s="34">
        <v>0</v>
      </c>
      <c r="O128" s="34">
        <v>0</v>
      </c>
      <c r="P128" s="34">
        <v>0</v>
      </c>
      <c r="Q128" s="34">
        <v>748</v>
      </c>
      <c r="R128" s="34">
        <v>0</v>
      </c>
      <c r="S128" s="34">
        <v>0</v>
      </c>
      <c r="T128" s="34">
        <v>0</v>
      </c>
      <c r="U128" s="34">
        <v>0</v>
      </c>
      <c r="V128" s="34">
        <v>0</v>
      </c>
      <c r="W128" s="34"/>
      <c r="X128" s="34"/>
      <c r="Y128" s="34">
        <v>0</v>
      </c>
      <c r="Z128" s="34">
        <v>0</v>
      </c>
      <c r="AA128" s="34">
        <v>0</v>
      </c>
      <c r="AB128" s="34">
        <v>0</v>
      </c>
      <c r="AC128" s="34">
        <v>0</v>
      </c>
      <c r="AD128" s="34">
        <v>0</v>
      </c>
      <c r="AE128" s="34">
        <v>0</v>
      </c>
      <c r="AF128" s="34">
        <v>0</v>
      </c>
      <c r="AG128" s="34">
        <v>0</v>
      </c>
      <c r="AH128" s="34">
        <v>0</v>
      </c>
      <c r="AI128" s="34">
        <v>0</v>
      </c>
      <c r="AJ128" s="34">
        <v>0</v>
      </c>
      <c r="AK128" s="34">
        <v>0</v>
      </c>
      <c r="AL128" s="34">
        <v>0</v>
      </c>
      <c r="AM128" s="34">
        <v>0</v>
      </c>
      <c r="AN128" s="34">
        <v>0</v>
      </c>
      <c r="AO128" s="35">
        <f t="shared" ref="AO128:AP131" si="84">SUMIF($C$69:$AN$69,AO$69,$C128:$AN128)</f>
        <v>2379.5</v>
      </c>
      <c r="AP128" s="35">
        <f t="shared" si="84"/>
        <v>1</v>
      </c>
      <c r="AQ128" s="36"/>
      <c r="AR128" s="37"/>
    </row>
    <row r="129" spans="1:44" ht="20.100000000000001" customHeight="1">
      <c r="A129" s="1526">
        <v>8</v>
      </c>
      <c r="B129" s="41" t="s">
        <v>50</v>
      </c>
      <c r="C129" s="34">
        <v>66.599999999999994</v>
      </c>
      <c r="D129" s="34">
        <v>0</v>
      </c>
      <c r="E129" s="34">
        <v>0</v>
      </c>
      <c r="F129" s="34">
        <v>0</v>
      </c>
      <c r="G129" s="34">
        <v>258</v>
      </c>
      <c r="H129" s="34">
        <v>0</v>
      </c>
      <c r="I129" s="34">
        <v>0</v>
      </c>
      <c r="J129" s="34">
        <v>0</v>
      </c>
      <c r="K129" s="34">
        <v>0</v>
      </c>
      <c r="L129" s="34">
        <v>0</v>
      </c>
      <c r="M129" s="34">
        <v>0</v>
      </c>
      <c r="N129" s="34">
        <v>0</v>
      </c>
      <c r="O129" s="34">
        <v>0</v>
      </c>
      <c r="P129" s="34">
        <v>0</v>
      </c>
      <c r="Q129" s="34">
        <v>330</v>
      </c>
      <c r="R129" s="34">
        <v>0</v>
      </c>
      <c r="S129" s="34">
        <v>0</v>
      </c>
      <c r="T129" s="34">
        <v>0</v>
      </c>
      <c r="U129" s="34">
        <v>0</v>
      </c>
      <c r="V129" s="34">
        <v>0</v>
      </c>
      <c r="W129" s="34"/>
      <c r="X129" s="34"/>
      <c r="Y129" s="34">
        <v>0</v>
      </c>
      <c r="Z129" s="34">
        <v>0</v>
      </c>
      <c r="AA129" s="34">
        <v>0</v>
      </c>
      <c r="AB129" s="34">
        <v>0</v>
      </c>
      <c r="AC129" s="34">
        <v>0</v>
      </c>
      <c r="AD129" s="34">
        <v>0</v>
      </c>
      <c r="AE129" s="34">
        <v>0</v>
      </c>
      <c r="AF129" s="34">
        <v>0</v>
      </c>
      <c r="AG129" s="34">
        <v>0</v>
      </c>
      <c r="AH129" s="34">
        <v>0</v>
      </c>
      <c r="AI129" s="34">
        <v>0</v>
      </c>
      <c r="AJ129" s="34">
        <v>0</v>
      </c>
      <c r="AK129" s="34">
        <v>0</v>
      </c>
      <c r="AL129" s="34">
        <v>0</v>
      </c>
      <c r="AM129" s="34">
        <v>0</v>
      </c>
      <c r="AN129" s="34">
        <v>0</v>
      </c>
      <c r="AO129" s="35">
        <f t="shared" si="84"/>
        <v>654.6</v>
      </c>
      <c r="AP129" s="35">
        <f t="shared" si="84"/>
        <v>0</v>
      </c>
      <c r="AQ129" s="36"/>
      <c r="AR129" s="37"/>
    </row>
    <row r="130" spans="1:44" ht="20.100000000000001" customHeight="1">
      <c r="A130" s="1526">
        <v>9</v>
      </c>
      <c r="B130" s="41" t="s">
        <v>19</v>
      </c>
      <c r="C130" s="34">
        <v>229.4</v>
      </c>
      <c r="D130" s="34">
        <v>0</v>
      </c>
      <c r="E130" s="34">
        <v>0</v>
      </c>
      <c r="F130" s="34">
        <v>0</v>
      </c>
      <c r="G130" s="34">
        <v>223.5</v>
      </c>
      <c r="H130" s="34">
        <v>0</v>
      </c>
      <c r="I130" s="34">
        <v>0</v>
      </c>
      <c r="J130" s="34">
        <v>0</v>
      </c>
      <c r="K130" s="34">
        <v>218</v>
      </c>
      <c r="L130" s="34">
        <v>0</v>
      </c>
      <c r="M130" s="34">
        <v>0</v>
      </c>
      <c r="N130" s="34">
        <v>0</v>
      </c>
      <c r="O130" s="34">
        <v>0</v>
      </c>
      <c r="P130" s="34">
        <v>0</v>
      </c>
      <c r="Q130" s="34">
        <v>323</v>
      </c>
      <c r="R130" s="34">
        <v>0</v>
      </c>
      <c r="S130" s="34">
        <v>0</v>
      </c>
      <c r="T130" s="34">
        <v>0</v>
      </c>
      <c r="U130" s="34">
        <v>0</v>
      </c>
      <c r="V130" s="34">
        <v>0</v>
      </c>
      <c r="W130" s="34"/>
      <c r="X130" s="34"/>
      <c r="Y130" s="34">
        <v>0</v>
      </c>
      <c r="Z130" s="34">
        <v>0</v>
      </c>
      <c r="AA130" s="34">
        <v>0</v>
      </c>
      <c r="AB130" s="34">
        <v>0</v>
      </c>
      <c r="AC130" s="34">
        <v>0</v>
      </c>
      <c r="AD130" s="34">
        <v>0</v>
      </c>
      <c r="AE130" s="34">
        <v>0</v>
      </c>
      <c r="AF130" s="34">
        <v>0</v>
      </c>
      <c r="AG130" s="34">
        <v>249.5</v>
      </c>
      <c r="AH130" s="34">
        <v>0</v>
      </c>
      <c r="AI130" s="34">
        <v>0</v>
      </c>
      <c r="AJ130" s="34">
        <v>0</v>
      </c>
      <c r="AK130" s="34">
        <v>0</v>
      </c>
      <c r="AL130" s="34">
        <v>0</v>
      </c>
      <c r="AM130" s="34">
        <v>0</v>
      </c>
      <c r="AN130" s="34">
        <v>0</v>
      </c>
      <c r="AO130" s="35">
        <f t="shared" si="84"/>
        <v>1243.4000000000001</v>
      </c>
      <c r="AP130" s="35">
        <f t="shared" si="84"/>
        <v>0</v>
      </c>
      <c r="AQ130" s="36"/>
      <c r="AR130" s="37"/>
    </row>
    <row r="131" spans="1:44" ht="20.100000000000001" customHeight="1">
      <c r="A131" s="1526">
        <v>10</v>
      </c>
      <c r="B131" s="41" t="s">
        <v>20</v>
      </c>
      <c r="C131" s="34">
        <v>0</v>
      </c>
      <c r="D131" s="34">
        <v>0</v>
      </c>
      <c r="E131" s="34">
        <v>0</v>
      </c>
      <c r="F131" s="34">
        <v>0</v>
      </c>
      <c r="G131" s="34">
        <v>40</v>
      </c>
      <c r="H131" s="34">
        <v>0</v>
      </c>
      <c r="I131" s="34">
        <v>0</v>
      </c>
      <c r="J131" s="34">
        <v>0</v>
      </c>
      <c r="K131" s="34">
        <v>0</v>
      </c>
      <c r="L131" s="34">
        <v>0</v>
      </c>
      <c r="M131" s="34">
        <v>0</v>
      </c>
      <c r="N131" s="34">
        <v>0</v>
      </c>
      <c r="O131" s="34">
        <v>0</v>
      </c>
      <c r="P131" s="34">
        <v>0</v>
      </c>
      <c r="Q131" s="34">
        <v>65</v>
      </c>
      <c r="R131" s="34">
        <v>0</v>
      </c>
      <c r="S131" s="34">
        <v>0</v>
      </c>
      <c r="T131" s="34">
        <v>0</v>
      </c>
      <c r="U131" s="34">
        <v>0</v>
      </c>
      <c r="V131" s="34">
        <v>0</v>
      </c>
      <c r="W131" s="34"/>
      <c r="X131" s="34"/>
      <c r="Y131" s="34">
        <v>0</v>
      </c>
      <c r="Z131" s="34">
        <v>0</v>
      </c>
      <c r="AA131" s="34">
        <v>0</v>
      </c>
      <c r="AB131" s="34">
        <v>0</v>
      </c>
      <c r="AC131" s="34">
        <v>0</v>
      </c>
      <c r="AD131" s="34">
        <v>0</v>
      </c>
      <c r="AE131" s="34">
        <v>0</v>
      </c>
      <c r="AF131" s="34">
        <v>0</v>
      </c>
      <c r="AG131" s="34">
        <v>0</v>
      </c>
      <c r="AH131" s="34">
        <v>0</v>
      </c>
      <c r="AI131" s="34">
        <v>0</v>
      </c>
      <c r="AJ131" s="34">
        <v>0</v>
      </c>
      <c r="AK131" s="34">
        <v>0</v>
      </c>
      <c r="AL131" s="34">
        <v>0</v>
      </c>
      <c r="AM131" s="34">
        <v>0</v>
      </c>
      <c r="AN131" s="34">
        <v>0</v>
      </c>
      <c r="AO131" s="35">
        <f t="shared" si="84"/>
        <v>105</v>
      </c>
      <c r="AP131" s="35">
        <f t="shared" si="84"/>
        <v>0</v>
      </c>
      <c r="AQ131" s="36"/>
      <c r="AR131" s="37"/>
    </row>
    <row r="132" spans="1:44" ht="24.95" customHeight="1">
      <c r="A132" s="1526"/>
      <c r="B132" s="32" t="s">
        <v>21</v>
      </c>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33"/>
      <c r="AP132" s="27"/>
      <c r="AQ132" s="54"/>
      <c r="AR132" s="55"/>
    </row>
    <row r="133" spans="1:44" ht="20.100000000000001" customHeight="1">
      <c r="A133" s="1526">
        <v>11</v>
      </c>
      <c r="B133" s="41" t="s">
        <v>118</v>
      </c>
      <c r="C133" s="34">
        <v>435</v>
      </c>
      <c r="D133" s="34">
        <v>0.4</v>
      </c>
      <c r="E133" s="34">
        <v>0</v>
      </c>
      <c r="F133" s="34">
        <v>0</v>
      </c>
      <c r="G133" s="34">
        <v>247</v>
      </c>
      <c r="H133" s="34">
        <v>12.65</v>
      </c>
      <c r="I133" s="34">
        <v>0</v>
      </c>
      <c r="J133" s="34">
        <v>0</v>
      </c>
      <c r="K133" s="34">
        <v>454.7</v>
      </c>
      <c r="L133" s="34">
        <v>0.5</v>
      </c>
      <c r="M133" s="34">
        <v>0</v>
      </c>
      <c r="N133" s="34">
        <v>0</v>
      </c>
      <c r="O133" s="34">
        <v>0</v>
      </c>
      <c r="P133" s="34">
        <v>0</v>
      </c>
      <c r="Q133" s="34">
        <v>585.08399999999995</v>
      </c>
      <c r="R133" s="34">
        <v>14.05</v>
      </c>
      <c r="S133" s="34">
        <v>0</v>
      </c>
      <c r="T133" s="34">
        <v>0</v>
      </c>
      <c r="U133" s="34">
        <v>0</v>
      </c>
      <c r="V133" s="34">
        <v>0</v>
      </c>
      <c r="W133" s="34"/>
      <c r="X133" s="34"/>
      <c r="Y133" s="34">
        <v>0</v>
      </c>
      <c r="Z133" s="34">
        <v>0</v>
      </c>
      <c r="AA133" s="34">
        <v>0</v>
      </c>
      <c r="AB133" s="34">
        <v>0</v>
      </c>
      <c r="AC133" s="34">
        <v>0</v>
      </c>
      <c r="AD133" s="34">
        <v>0</v>
      </c>
      <c r="AE133" s="34">
        <v>0</v>
      </c>
      <c r="AF133" s="34">
        <v>0</v>
      </c>
      <c r="AG133" s="34">
        <v>0</v>
      </c>
      <c r="AH133" s="34">
        <v>0</v>
      </c>
      <c r="AI133" s="34">
        <v>144.65</v>
      </c>
      <c r="AJ133" s="34">
        <v>1.42</v>
      </c>
      <c r="AK133" s="34">
        <v>526</v>
      </c>
      <c r="AL133" s="34">
        <v>1.5</v>
      </c>
      <c r="AM133" s="34">
        <v>271</v>
      </c>
      <c r="AN133" s="34">
        <v>0.83333333333333326</v>
      </c>
      <c r="AO133" s="35">
        <f t="shared" ref="AO133:AP137" si="85">SUMIF($C$69:$AN$69,AO$69,$C133:$AN133)</f>
        <v>2663.4340000000002</v>
      </c>
      <c r="AP133" s="35">
        <f t="shared" si="85"/>
        <v>31.353333333333335</v>
      </c>
      <c r="AQ133" s="36"/>
      <c r="AR133" s="37"/>
    </row>
    <row r="134" spans="1:44" ht="20.100000000000001" customHeight="1">
      <c r="A134" s="1526">
        <v>12</v>
      </c>
      <c r="B134" s="41" t="s">
        <v>35</v>
      </c>
      <c r="C134" s="34">
        <v>53.7</v>
      </c>
      <c r="D134" s="34">
        <v>0</v>
      </c>
      <c r="E134" s="34">
        <v>0</v>
      </c>
      <c r="F134" s="34">
        <v>0</v>
      </c>
      <c r="G134" s="34">
        <v>0</v>
      </c>
      <c r="H134" s="34">
        <v>0</v>
      </c>
      <c r="I134" s="34">
        <v>0</v>
      </c>
      <c r="J134" s="34">
        <v>0</v>
      </c>
      <c r="K134" s="34">
        <v>0</v>
      </c>
      <c r="L134" s="34">
        <v>0</v>
      </c>
      <c r="M134" s="34">
        <v>0</v>
      </c>
      <c r="N134" s="34">
        <v>0</v>
      </c>
      <c r="O134" s="34">
        <v>0</v>
      </c>
      <c r="P134" s="34">
        <v>0</v>
      </c>
      <c r="Q134" s="34">
        <v>0</v>
      </c>
      <c r="R134" s="34">
        <v>0</v>
      </c>
      <c r="S134" s="34">
        <v>0</v>
      </c>
      <c r="T134" s="34">
        <v>0</v>
      </c>
      <c r="U134" s="34">
        <v>0</v>
      </c>
      <c r="V134" s="34">
        <v>0</v>
      </c>
      <c r="W134" s="34"/>
      <c r="X134" s="34"/>
      <c r="Y134" s="34">
        <v>0</v>
      </c>
      <c r="Z134" s="34">
        <v>0</v>
      </c>
      <c r="AA134" s="34">
        <v>0</v>
      </c>
      <c r="AB134" s="34">
        <v>0</v>
      </c>
      <c r="AC134" s="34">
        <v>85</v>
      </c>
      <c r="AD134" s="34">
        <v>0</v>
      </c>
      <c r="AE134" s="34">
        <v>0</v>
      </c>
      <c r="AF134" s="34">
        <v>0</v>
      </c>
      <c r="AG134" s="34">
        <v>0</v>
      </c>
      <c r="AH134" s="34">
        <v>0</v>
      </c>
      <c r="AI134" s="34">
        <v>0</v>
      </c>
      <c r="AJ134" s="34">
        <v>0</v>
      </c>
      <c r="AK134" s="34">
        <v>0</v>
      </c>
      <c r="AL134" s="34">
        <v>0</v>
      </c>
      <c r="AM134" s="34">
        <v>0</v>
      </c>
      <c r="AN134" s="34">
        <v>0</v>
      </c>
      <c r="AO134" s="35">
        <f t="shared" si="85"/>
        <v>138.69999999999999</v>
      </c>
      <c r="AP134" s="35">
        <f t="shared" si="85"/>
        <v>0</v>
      </c>
      <c r="AQ134" s="36"/>
      <c r="AR134" s="37"/>
    </row>
    <row r="135" spans="1:44" ht="20.100000000000001" customHeight="1">
      <c r="A135" s="1526">
        <v>13</v>
      </c>
      <c r="B135" s="41" t="s">
        <v>36</v>
      </c>
      <c r="C135" s="34">
        <v>0</v>
      </c>
      <c r="D135" s="34">
        <v>0</v>
      </c>
      <c r="E135" s="34">
        <v>0</v>
      </c>
      <c r="F135" s="34">
        <v>0</v>
      </c>
      <c r="G135" s="34">
        <v>0</v>
      </c>
      <c r="H135" s="34">
        <v>0</v>
      </c>
      <c r="I135" s="34">
        <v>0</v>
      </c>
      <c r="J135" s="34">
        <v>0</v>
      </c>
      <c r="K135" s="34">
        <v>370</v>
      </c>
      <c r="L135" s="34">
        <v>1.3</v>
      </c>
      <c r="M135" s="34">
        <v>0</v>
      </c>
      <c r="N135" s="34">
        <v>0</v>
      </c>
      <c r="O135" s="34">
        <v>0</v>
      </c>
      <c r="P135" s="34">
        <v>0</v>
      </c>
      <c r="Q135" s="34">
        <v>0</v>
      </c>
      <c r="R135" s="34">
        <v>0</v>
      </c>
      <c r="S135" s="34">
        <v>0</v>
      </c>
      <c r="T135" s="34">
        <v>0</v>
      </c>
      <c r="U135" s="34">
        <v>0</v>
      </c>
      <c r="V135" s="34">
        <v>0</v>
      </c>
      <c r="W135" s="34"/>
      <c r="X135" s="34"/>
      <c r="Y135" s="34">
        <v>0</v>
      </c>
      <c r="Z135" s="34">
        <v>0</v>
      </c>
      <c r="AA135" s="34">
        <v>0</v>
      </c>
      <c r="AB135" s="34">
        <v>0</v>
      </c>
      <c r="AC135" s="34">
        <v>0</v>
      </c>
      <c r="AD135" s="34">
        <v>0</v>
      </c>
      <c r="AE135" s="34">
        <v>0</v>
      </c>
      <c r="AF135" s="34">
        <v>0</v>
      </c>
      <c r="AG135" s="34">
        <v>0</v>
      </c>
      <c r="AH135" s="34">
        <v>0</v>
      </c>
      <c r="AI135" s="34">
        <v>0</v>
      </c>
      <c r="AJ135" s="34">
        <v>0</v>
      </c>
      <c r="AK135" s="34">
        <v>0</v>
      </c>
      <c r="AL135" s="34">
        <v>0</v>
      </c>
      <c r="AM135" s="34">
        <v>0</v>
      </c>
      <c r="AN135" s="34">
        <v>0</v>
      </c>
      <c r="AO135" s="35">
        <f t="shared" si="85"/>
        <v>370</v>
      </c>
      <c r="AP135" s="35">
        <f t="shared" si="85"/>
        <v>1.3</v>
      </c>
      <c r="AQ135" s="36"/>
      <c r="AR135" s="37"/>
    </row>
    <row r="136" spans="1:44" ht="20.100000000000001" customHeight="1">
      <c r="A136" s="1526">
        <v>14</v>
      </c>
      <c r="B136" s="41" t="s">
        <v>37</v>
      </c>
      <c r="C136" s="34">
        <v>0</v>
      </c>
      <c r="D136" s="34">
        <v>0</v>
      </c>
      <c r="E136" s="34">
        <v>0</v>
      </c>
      <c r="F136" s="34">
        <v>0</v>
      </c>
      <c r="G136" s="34">
        <v>0</v>
      </c>
      <c r="H136" s="34">
        <v>0</v>
      </c>
      <c r="I136" s="34">
        <v>0</v>
      </c>
      <c r="J136" s="34">
        <v>0</v>
      </c>
      <c r="K136" s="34">
        <v>0</v>
      </c>
      <c r="L136" s="34">
        <v>0</v>
      </c>
      <c r="M136" s="34">
        <v>0</v>
      </c>
      <c r="N136" s="34">
        <v>0</v>
      </c>
      <c r="O136" s="34">
        <v>0</v>
      </c>
      <c r="P136" s="34">
        <v>0</v>
      </c>
      <c r="Q136" s="34">
        <v>107</v>
      </c>
      <c r="R136" s="34">
        <v>1.6</v>
      </c>
      <c r="S136" s="34">
        <v>0</v>
      </c>
      <c r="T136" s="34">
        <v>0</v>
      </c>
      <c r="U136" s="34">
        <v>0</v>
      </c>
      <c r="V136" s="34">
        <v>0</v>
      </c>
      <c r="W136" s="34"/>
      <c r="X136" s="34"/>
      <c r="Y136" s="34">
        <v>0</v>
      </c>
      <c r="Z136" s="34">
        <v>0</v>
      </c>
      <c r="AA136" s="34">
        <v>0</v>
      </c>
      <c r="AB136" s="34">
        <v>0</v>
      </c>
      <c r="AC136" s="34">
        <v>0</v>
      </c>
      <c r="AD136" s="34">
        <v>0</v>
      </c>
      <c r="AE136" s="34">
        <v>0</v>
      </c>
      <c r="AF136" s="34">
        <v>0</v>
      </c>
      <c r="AG136" s="34">
        <v>0</v>
      </c>
      <c r="AH136" s="34">
        <v>0</v>
      </c>
      <c r="AI136" s="34">
        <v>0</v>
      </c>
      <c r="AJ136" s="34">
        <v>0</v>
      </c>
      <c r="AK136" s="34">
        <v>0</v>
      </c>
      <c r="AL136" s="34">
        <v>0</v>
      </c>
      <c r="AM136" s="34">
        <v>0</v>
      </c>
      <c r="AN136" s="34">
        <v>0</v>
      </c>
      <c r="AO136" s="35">
        <f t="shared" si="85"/>
        <v>107</v>
      </c>
      <c r="AP136" s="35">
        <f t="shared" si="85"/>
        <v>1.6</v>
      </c>
      <c r="AQ136" s="36"/>
      <c r="AR136" s="37"/>
    </row>
    <row r="137" spans="1:44" ht="24.95" customHeight="1">
      <c r="A137" s="1526">
        <v>15</v>
      </c>
      <c r="B137" s="42" t="s">
        <v>109</v>
      </c>
      <c r="C137" s="44">
        <v>0</v>
      </c>
      <c r="D137" s="44">
        <v>0</v>
      </c>
      <c r="E137" s="44">
        <v>0</v>
      </c>
      <c r="F137" s="44">
        <v>0</v>
      </c>
      <c r="G137" s="44">
        <v>1084</v>
      </c>
      <c r="H137" s="44">
        <v>0</v>
      </c>
      <c r="I137" s="44">
        <v>1501</v>
      </c>
      <c r="J137" s="44">
        <v>3</v>
      </c>
      <c r="K137" s="44">
        <v>0</v>
      </c>
      <c r="L137" s="44">
        <v>0</v>
      </c>
      <c r="M137" s="44">
        <v>1250</v>
      </c>
      <c r="N137" s="44">
        <v>52</v>
      </c>
      <c r="O137" s="44">
        <v>0</v>
      </c>
      <c r="P137" s="44">
        <v>0</v>
      </c>
      <c r="Q137" s="44">
        <v>0</v>
      </c>
      <c r="R137" s="44">
        <v>0</v>
      </c>
      <c r="S137" s="44">
        <v>0</v>
      </c>
      <c r="T137" s="44">
        <v>0</v>
      </c>
      <c r="U137" s="44">
        <v>0</v>
      </c>
      <c r="V137" s="44">
        <v>0</v>
      </c>
      <c r="W137" s="44"/>
      <c r="X137" s="44"/>
      <c r="Y137" s="44">
        <v>0</v>
      </c>
      <c r="Z137" s="44">
        <v>0</v>
      </c>
      <c r="AA137" s="44">
        <v>707</v>
      </c>
      <c r="AB137" s="44">
        <v>0</v>
      </c>
      <c r="AC137" s="44">
        <v>0</v>
      </c>
      <c r="AD137" s="44">
        <v>0</v>
      </c>
      <c r="AE137" s="44">
        <v>0</v>
      </c>
      <c r="AF137" s="44">
        <v>0</v>
      </c>
      <c r="AG137" s="44">
        <v>0</v>
      </c>
      <c r="AH137" s="44">
        <v>0</v>
      </c>
      <c r="AI137" s="44">
        <v>856.88</v>
      </c>
      <c r="AJ137" s="44">
        <v>24.37</v>
      </c>
      <c r="AK137" s="44">
        <v>0</v>
      </c>
      <c r="AL137" s="44">
        <v>0</v>
      </c>
      <c r="AM137" s="44">
        <v>1833</v>
      </c>
      <c r="AN137" s="44">
        <v>179.24999999999983</v>
      </c>
      <c r="AO137" s="45">
        <f t="shared" si="85"/>
        <v>7231.88</v>
      </c>
      <c r="AP137" s="45">
        <f t="shared" si="85"/>
        <v>258.61999999999983</v>
      </c>
      <c r="AQ137" s="46"/>
      <c r="AR137" s="47"/>
    </row>
    <row r="138" spans="1:44" ht="24.95" customHeight="1">
      <c r="A138" s="1526"/>
      <c r="B138" s="31" t="s">
        <v>110</v>
      </c>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27"/>
      <c r="AP138" s="27"/>
      <c r="AQ138" s="54"/>
      <c r="AR138" s="55"/>
    </row>
    <row r="139" spans="1:44" ht="24.95" customHeight="1">
      <c r="A139" s="1526">
        <v>16</v>
      </c>
      <c r="B139" s="32" t="s">
        <v>115</v>
      </c>
      <c r="C139" s="34">
        <v>2746</v>
      </c>
      <c r="D139" s="34">
        <v>90.8</v>
      </c>
      <c r="E139" s="34">
        <v>2044.5</v>
      </c>
      <c r="F139" s="34">
        <v>55.3</v>
      </c>
      <c r="G139" s="34">
        <v>1984.15</v>
      </c>
      <c r="H139" s="34">
        <v>7.22</v>
      </c>
      <c r="I139" s="34">
        <v>2701.7</v>
      </c>
      <c r="J139" s="34">
        <v>134.1</v>
      </c>
      <c r="K139" s="34">
        <v>4160.1000000000004</v>
      </c>
      <c r="L139" s="34">
        <v>78.2</v>
      </c>
      <c r="M139" s="34">
        <v>2505.69</v>
      </c>
      <c r="N139" s="34">
        <v>269.57</v>
      </c>
      <c r="O139" s="34">
        <v>136</v>
      </c>
      <c r="P139" s="34">
        <v>0</v>
      </c>
      <c r="Q139" s="34">
        <v>5206.4210000000103</v>
      </c>
      <c r="R139" s="34">
        <v>31.322099999999999</v>
      </c>
      <c r="S139" s="34">
        <v>3407.8300000000004</v>
      </c>
      <c r="T139" s="34">
        <v>30.51</v>
      </c>
      <c r="U139" s="34">
        <v>1408.64</v>
      </c>
      <c r="V139" s="34">
        <v>246.6</v>
      </c>
      <c r="W139" s="34"/>
      <c r="X139" s="34"/>
      <c r="Y139" s="34">
        <v>375</v>
      </c>
      <c r="Z139" s="34">
        <v>4.57</v>
      </c>
      <c r="AA139" s="34">
        <v>1448.25</v>
      </c>
      <c r="AB139" s="34">
        <v>102.91</v>
      </c>
      <c r="AC139" s="34">
        <v>0</v>
      </c>
      <c r="AD139" s="34">
        <v>0</v>
      </c>
      <c r="AE139" s="34">
        <v>978</v>
      </c>
      <c r="AF139" s="34">
        <v>33.5</v>
      </c>
      <c r="AG139" s="34">
        <v>1438</v>
      </c>
      <c r="AH139" s="34">
        <v>1.08</v>
      </c>
      <c r="AI139" s="34">
        <v>1710.9099999999999</v>
      </c>
      <c r="AJ139" s="34">
        <v>17.5</v>
      </c>
      <c r="AK139" s="34">
        <v>4818.66</v>
      </c>
      <c r="AL139" s="34">
        <v>90.17</v>
      </c>
      <c r="AM139" s="34">
        <v>3025.5</v>
      </c>
      <c r="AN139" s="34">
        <v>242.91666666666669</v>
      </c>
      <c r="AO139" s="35">
        <f>SUMIF($C$69:$AN$69,AO$69,$C139:$AN139)</f>
        <v>40095.35100000001</v>
      </c>
      <c r="AP139" s="35">
        <f>SUMIF($C$69:$AN$69,AP$69,$C139:$AN139)</f>
        <v>1436.2687666666668</v>
      </c>
      <c r="AQ139" s="36"/>
      <c r="AR139" s="37"/>
    </row>
    <row r="140" spans="1:44" ht="24.95" customHeight="1">
      <c r="A140" s="1526">
        <v>17</v>
      </c>
      <c r="B140" s="32" t="s">
        <v>113</v>
      </c>
      <c r="C140" s="34">
        <v>4148.3999999999996</v>
      </c>
      <c r="D140" s="34">
        <v>223</v>
      </c>
      <c r="E140" s="34">
        <v>1728.5</v>
      </c>
      <c r="F140" s="34">
        <v>65.8</v>
      </c>
      <c r="G140" s="34">
        <v>3406.88</v>
      </c>
      <c r="H140" s="34">
        <v>326.39999999999998</v>
      </c>
      <c r="I140" s="34">
        <v>3557.7000000000003</v>
      </c>
      <c r="J140" s="34">
        <v>473.8</v>
      </c>
      <c r="K140" s="34">
        <v>6019.3</v>
      </c>
      <c r="L140" s="34">
        <v>273.5</v>
      </c>
      <c r="M140" s="34">
        <v>6463.86</v>
      </c>
      <c r="N140" s="34">
        <v>375.07</v>
      </c>
      <c r="O140" s="34">
        <v>979</v>
      </c>
      <c r="P140" s="34">
        <v>7.5</v>
      </c>
      <c r="Q140" s="34">
        <v>6852.99999999999</v>
      </c>
      <c r="R140" s="34">
        <v>116.8879</v>
      </c>
      <c r="S140" s="34">
        <v>1295.5899999999999</v>
      </c>
      <c r="T140" s="34">
        <v>9.4</v>
      </c>
      <c r="U140" s="34">
        <v>2994.22</v>
      </c>
      <c r="V140" s="34">
        <v>538.51</v>
      </c>
      <c r="W140" s="34"/>
      <c r="X140" s="34"/>
      <c r="Y140" s="34">
        <v>2260</v>
      </c>
      <c r="Z140" s="34">
        <v>87.3</v>
      </c>
      <c r="AA140" s="34">
        <v>4765.5</v>
      </c>
      <c r="AB140" s="34">
        <v>396.77</v>
      </c>
      <c r="AC140" s="34">
        <v>514</v>
      </c>
      <c r="AD140" s="34">
        <v>0</v>
      </c>
      <c r="AE140" s="34">
        <v>313.5</v>
      </c>
      <c r="AF140" s="34">
        <v>21</v>
      </c>
      <c r="AG140" s="34">
        <v>1603</v>
      </c>
      <c r="AH140" s="34">
        <v>57.36</v>
      </c>
      <c r="AI140" s="34">
        <v>3017.6299999999997</v>
      </c>
      <c r="AJ140" s="34">
        <v>71.210000000000008</v>
      </c>
      <c r="AK140" s="34">
        <v>5087.25</v>
      </c>
      <c r="AL140" s="34">
        <v>240.39</v>
      </c>
      <c r="AM140" s="34">
        <v>5019</v>
      </c>
      <c r="AN140" s="34">
        <v>461.91666666666663</v>
      </c>
      <c r="AO140" s="35">
        <f>SUMIF($C$69:$AN$69,AO$69,$C140:$AN140)</f>
        <v>60026.329999999987</v>
      </c>
      <c r="AP140" s="35">
        <f>SUMIF($C$69:$AN$69,AP$69,$C140:$AN140)</f>
        <v>3745.8145666666669</v>
      </c>
      <c r="AQ140" s="36"/>
      <c r="AR140" s="37"/>
    </row>
    <row r="141" spans="1:44" ht="30" customHeight="1">
      <c r="A141" s="1508"/>
      <c r="B141" s="31" t="s">
        <v>2</v>
      </c>
      <c r="C141" s="35">
        <f t="shared" ref="C141" si="86">SUM(C128:C140)</f>
        <v>8194.0999999999985</v>
      </c>
      <c r="D141" s="35">
        <f t="shared" ref="D141:E141" si="87">SUM(D128:D140)</f>
        <v>315.2</v>
      </c>
      <c r="E141" s="35">
        <f t="shared" si="87"/>
        <v>3773</v>
      </c>
      <c r="F141" s="35">
        <f t="shared" ref="F141:AN141" si="88">SUM(F128:F140)</f>
        <v>121.1</v>
      </c>
      <c r="G141" s="35">
        <f t="shared" si="88"/>
        <v>7700.53</v>
      </c>
      <c r="H141" s="35">
        <f t="shared" si="88"/>
        <v>346.27</v>
      </c>
      <c r="I141" s="35">
        <f t="shared" si="88"/>
        <v>7760.4</v>
      </c>
      <c r="J141" s="35">
        <f t="shared" si="88"/>
        <v>610.9</v>
      </c>
      <c r="K141" s="35">
        <f t="shared" si="88"/>
        <v>11881.6</v>
      </c>
      <c r="L141" s="35">
        <f t="shared" si="88"/>
        <v>353.5</v>
      </c>
      <c r="M141" s="35">
        <f t="shared" si="88"/>
        <v>10219.549999999999</v>
      </c>
      <c r="N141" s="35">
        <f t="shared" si="88"/>
        <v>696.64</v>
      </c>
      <c r="O141" s="35">
        <f t="shared" si="88"/>
        <v>1115</v>
      </c>
      <c r="P141" s="35">
        <f t="shared" si="88"/>
        <v>7.5</v>
      </c>
      <c r="Q141" s="35">
        <f t="shared" si="88"/>
        <v>14217.505000000001</v>
      </c>
      <c r="R141" s="35">
        <f t="shared" si="88"/>
        <v>163.86</v>
      </c>
      <c r="S141" s="35">
        <f t="shared" si="88"/>
        <v>4703.42</v>
      </c>
      <c r="T141" s="35">
        <f t="shared" si="88"/>
        <v>39.910000000000004</v>
      </c>
      <c r="U141" s="35">
        <f t="shared" si="88"/>
        <v>4402.8599999999997</v>
      </c>
      <c r="V141" s="35">
        <f t="shared" si="88"/>
        <v>785.11</v>
      </c>
      <c r="W141" s="35"/>
      <c r="X141" s="35"/>
      <c r="Y141" s="35">
        <f t="shared" si="88"/>
        <v>2635</v>
      </c>
      <c r="Z141" s="35">
        <f t="shared" si="88"/>
        <v>91.87</v>
      </c>
      <c r="AA141" s="35">
        <f t="shared" si="88"/>
        <v>6920.75</v>
      </c>
      <c r="AB141" s="35">
        <f t="shared" si="88"/>
        <v>499.67999999999995</v>
      </c>
      <c r="AC141" s="35">
        <f t="shared" si="88"/>
        <v>599</v>
      </c>
      <c r="AD141" s="35">
        <f t="shared" si="88"/>
        <v>0</v>
      </c>
      <c r="AE141" s="35">
        <f t="shared" si="88"/>
        <v>1291.5</v>
      </c>
      <c r="AF141" s="35">
        <f t="shared" si="88"/>
        <v>54.5</v>
      </c>
      <c r="AG141" s="35">
        <f t="shared" si="88"/>
        <v>3290.5</v>
      </c>
      <c r="AH141" s="35">
        <f t="shared" si="88"/>
        <v>58.44</v>
      </c>
      <c r="AI141" s="35">
        <f t="shared" si="88"/>
        <v>5730.07</v>
      </c>
      <c r="AJ141" s="35">
        <f t="shared" si="88"/>
        <v>114.5</v>
      </c>
      <c r="AK141" s="35">
        <f t="shared" si="88"/>
        <v>10431.91</v>
      </c>
      <c r="AL141" s="35">
        <f t="shared" si="88"/>
        <v>332.06</v>
      </c>
      <c r="AM141" s="35">
        <f t="shared" si="88"/>
        <v>10148.5</v>
      </c>
      <c r="AN141" s="35">
        <f t="shared" si="88"/>
        <v>884.91666666666652</v>
      </c>
      <c r="AO141" s="35">
        <f t="shared" ref="AO141:AR141" si="89">SUM(AO128:AO140)</f>
        <v>115015.19499999999</v>
      </c>
      <c r="AP141" s="35">
        <f t="shared" si="89"/>
        <v>5475.9566666666669</v>
      </c>
      <c r="AQ141" s="632">
        <f t="shared" si="89"/>
        <v>0</v>
      </c>
      <c r="AR141" s="40">
        <f t="shared" si="89"/>
        <v>0</v>
      </c>
    </row>
    <row r="142" spans="1:44" ht="30" customHeight="1" thickBot="1">
      <c r="A142" s="1531">
        <v>18</v>
      </c>
      <c r="B142" s="1532" t="s">
        <v>116</v>
      </c>
      <c r="C142" s="48">
        <f t="shared" ref="C142" si="90">SUM(C113,C118,C124,C141)</f>
        <v>9314.1999999999989</v>
      </c>
      <c r="D142" s="48">
        <f t="shared" ref="D142:E142" si="91">SUM(D113,D118,D124,D141)</f>
        <v>560.4</v>
      </c>
      <c r="E142" s="48">
        <f t="shared" si="91"/>
        <v>3898</v>
      </c>
      <c r="F142" s="48">
        <f t="shared" ref="F142:AN142" si="92">SUM(F113,F118,F124,F141)</f>
        <v>219</v>
      </c>
      <c r="G142" s="48">
        <f t="shared" si="92"/>
        <v>8680.6299999999992</v>
      </c>
      <c r="H142" s="48">
        <f t="shared" si="92"/>
        <v>956.17</v>
      </c>
      <c r="I142" s="48">
        <f t="shared" si="92"/>
        <v>8341.4</v>
      </c>
      <c r="J142" s="48">
        <f t="shared" si="92"/>
        <v>863.5</v>
      </c>
      <c r="K142" s="48">
        <f t="shared" si="92"/>
        <v>14876.5</v>
      </c>
      <c r="L142" s="48">
        <f t="shared" si="92"/>
        <v>826.4</v>
      </c>
      <c r="M142" s="48">
        <f t="shared" si="92"/>
        <v>10675.55</v>
      </c>
      <c r="N142" s="48">
        <f t="shared" si="92"/>
        <v>898.56</v>
      </c>
      <c r="O142" s="48">
        <f t="shared" si="92"/>
        <v>1300</v>
      </c>
      <c r="P142" s="48">
        <f t="shared" si="92"/>
        <v>19.799999999999997</v>
      </c>
      <c r="Q142" s="48">
        <f t="shared" si="92"/>
        <v>16634.505000000001</v>
      </c>
      <c r="R142" s="48">
        <f t="shared" si="92"/>
        <v>871.93099700000005</v>
      </c>
      <c r="S142" s="48">
        <f t="shared" si="92"/>
        <v>5567.02</v>
      </c>
      <c r="T142" s="48">
        <f t="shared" si="92"/>
        <v>136.69</v>
      </c>
      <c r="U142" s="48">
        <f t="shared" si="92"/>
        <v>4473.8599999999997</v>
      </c>
      <c r="V142" s="48">
        <f t="shared" si="92"/>
        <v>880.01</v>
      </c>
      <c r="W142" s="48">
        <f t="shared" si="92"/>
        <v>0</v>
      </c>
      <c r="X142" s="48">
        <f t="shared" si="92"/>
        <v>0</v>
      </c>
      <c r="Y142" s="48">
        <f t="shared" si="92"/>
        <v>2825</v>
      </c>
      <c r="Z142" s="48">
        <f t="shared" si="92"/>
        <v>288.70000000000005</v>
      </c>
      <c r="AA142" s="48">
        <f t="shared" si="92"/>
        <v>7154.75</v>
      </c>
      <c r="AB142" s="48">
        <f t="shared" si="92"/>
        <v>697.82999999999993</v>
      </c>
      <c r="AC142" s="48">
        <f t="shared" si="92"/>
        <v>656</v>
      </c>
      <c r="AD142" s="48">
        <f t="shared" si="92"/>
        <v>4.5</v>
      </c>
      <c r="AE142" s="48">
        <f t="shared" si="92"/>
        <v>1291.5</v>
      </c>
      <c r="AF142" s="48">
        <f t="shared" si="92"/>
        <v>60.5</v>
      </c>
      <c r="AG142" s="48">
        <f t="shared" si="92"/>
        <v>4164.1000000000004</v>
      </c>
      <c r="AH142" s="48">
        <f t="shared" si="92"/>
        <v>168.53</v>
      </c>
      <c r="AI142" s="48">
        <f t="shared" si="92"/>
        <v>6186.16</v>
      </c>
      <c r="AJ142" s="48">
        <f t="shared" si="92"/>
        <v>390.6</v>
      </c>
      <c r="AK142" s="48">
        <f t="shared" si="92"/>
        <v>12317.63</v>
      </c>
      <c r="AL142" s="48">
        <f t="shared" si="92"/>
        <v>563.27</v>
      </c>
      <c r="AM142" s="48">
        <f t="shared" si="92"/>
        <v>10772.5</v>
      </c>
      <c r="AN142" s="48">
        <f t="shared" si="92"/>
        <v>1188.833333333333</v>
      </c>
      <c r="AO142" s="48">
        <f t="shared" ref="AO142:AR142" si="93">SUM(AO113,AO118,AO124,AO141)</f>
        <v>129129.30499999999</v>
      </c>
      <c r="AP142" s="48">
        <f t="shared" si="93"/>
        <v>9595.2243303333344</v>
      </c>
      <c r="AQ142" s="633">
        <f t="shared" si="93"/>
        <v>0</v>
      </c>
      <c r="AR142" s="51">
        <f t="shared" si="93"/>
        <v>0</v>
      </c>
    </row>
    <row r="143" spans="1:44" ht="24.95" customHeight="1">
      <c r="A143" s="1533" t="s">
        <v>126</v>
      </c>
      <c r="B143" s="1546"/>
      <c r="C143" s="52">
        <v>9314.1999999999989</v>
      </c>
      <c r="D143" s="52">
        <v>560.4</v>
      </c>
      <c r="E143" s="52">
        <v>3898</v>
      </c>
      <c r="F143" s="52">
        <v>219</v>
      </c>
      <c r="G143" s="52">
        <v>8680.6299999999992</v>
      </c>
      <c r="H143" s="52">
        <v>956.17</v>
      </c>
      <c r="I143" s="52">
        <v>8341.4</v>
      </c>
      <c r="J143" s="52">
        <v>863.5</v>
      </c>
      <c r="K143" s="52">
        <v>14876.5</v>
      </c>
      <c r="L143" s="52">
        <v>826.4</v>
      </c>
      <c r="M143" s="52">
        <v>10675.55</v>
      </c>
      <c r="N143" s="52">
        <v>898.56</v>
      </c>
      <c r="O143" s="52">
        <v>1300</v>
      </c>
      <c r="P143" s="52">
        <v>19.799999999999997</v>
      </c>
      <c r="Q143" s="52">
        <v>16634.505000000001</v>
      </c>
      <c r="R143" s="52">
        <v>871.93099700000005</v>
      </c>
      <c r="S143" s="52">
        <v>5567.02</v>
      </c>
      <c r="T143" s="52">
        <v>136.69</v>
      </c>
      <c r="U143" s="52">
        <v>4473.8599999999997</v>
      </c>
      <c r="V143" s="52">
        <v>880.01</v>
      </c>
      <c r="W143" s="52">
        <v>9314.1999999999989</v>
      </c>
      <c r="X143" s="52">
        <v>560.4</v>
      </c>
      <c r="Y143" s="52">
        <v>2825</v>
      </c>
      <c r="Z143" s="52">
        <v>288.70000000000005</v>
      </c>
      <c r="AA143" s="52">
        <v>7154.75</v>
      </c>
      <c r="AB143" s="52">
        <v>697.82999999999993</v>
      </c>
      <c r="AC143" s="52">
        <v>656</v>
      </c>
      <c r="AD143" s="52">
        <v>4.5</v>
      </c>
      <c r="AE143" s="52">
        <v>1291.5</v>
      </c>
      <c r="AF143" s="52">
        <v>60.5</v>
      </c>
      <c r="AG143" s="52">
        <v>4164.1000000000004</v>
      </c>
      <c r="AH143" s="52">
        <v>168.53</v>
      </c>
      <c r="AI143" s="52">
        <v>6186.16</v>
      </c>
      <c r="AJ143" s="52">
        <v>390.6</v>
      </c>
      <c r="AK143" s="52">
        <v>12317.63</v>
      </c>
      <c r="AL143" s="52">
        <v>563.27</v>
      </c>
      <c r="AM143" s="52">
        <v>10772.5</v>
      </c>
      <c r="AN143" s="52">
        <v>1188.833333333333</v>
      </c>
      <c r="AO143" s="52">
        <v>129137.30500000001</v>
      </c>
      <c r="AP143" s="52">
        <v>15749.794330333334</v>
      </c>
      <c r="AQ143" s="52">
        <v>9314.1999999999989</v>
      </c>
      <c r="AR143" s="52">
        <v>560.4</v>
      </c>
    </row>
  </sheetData>
  <sheetProtection password="E23E" sheet="1" objects="1" scenarios="1"/>
  <mergeCells count="53">
    <mergeCell ref="A11:A12"/>
    <mergeCell ref="M68:N68"/>
    <mergeCell ref="O68:P68"/>
    <mergeCell ref="Q68:R68"/>
    <mergeCell ref="S68:T68"/>
    <mergeCell ref="C68:D68"/>
    <mergeCell ref="E68:F68"/>
    <mergeCell ref="G68:H68"/>
    <mergeCell ref="I68:J68"/>
    <mergeCell ref="K68:L68"/>
    <mergeCell ref="C40:N40"/>
    <mergeCell ref="C109:D109"/>
    <mergeCell ref="E109:F109"/>
    <mergeCell ref="G109:H109"/>
    <mergeCell ref="I109:J109"/>
    <mergeCell ref="K109:L109"/>
    <mergeCell ref="AO109:AP109"/>
    <mergeCell ref="AQ109:AR109"/>
    <mergeCell ref="AG109:AH109"/>
    <mergeCell ref="AI109:AJ109"/>
    <mergeCell ref="AK109:AL109"/>
    <mergeCell ref="AM109:AN109"/>
    <mergeCell ref="AE109:AF109"/>
    <mergeCell ref="AC109:AD109"/>
    <mergeCell ref="AA109:AB109"/>
    <mergeCell ref="Y109:Z109"/>
    <mergeCell ref="W109:X109"/>
    <mergeCell ref="M109:N109"/>
    <mergeCell ref="O109:P109"/>
    <mergeCell ref="Q109:R109"/>
    <mergeCell ref="S109:T109"/>
    <mergeCell ref="U109:V109"/>
    <mergeCell ref="AO68:AP68"/>
    <mergeCell ref="AQ68:AR68"/>
    <mergeCell ref="AC68:AD68"/>
    <mergeCell ref="AE68:AF68"/>
    <mergeCell ref="C9:J9"/>
    <mergeCell ref="K9:R9"/>
    <mergeCell ref="AB9:AB10"/>
    <mergeCell ref="AM68:AN68"/>
    <mergeCell ref="U68:V68"/>
    <mergeCell ref="W68:X68"/>
    <mergeCell ref="Y68:Z68"/>
    <mergeCell ref="AA68:AB68"/>
    <mergeCell ref="AI68:AJ68"/>
    <mergeCell ref="AK68:AL68"/>
    <mergeCell ref="AG68:AH68"/>
    <mergeCell ref="S9:AA9"/>
    <mergeCell ref="AV9:AZ9"/>
    <mergeCell ref="BA9:BA10"/>
    <mergeCell ref="AO9:AU9"/>
    <mergeCell ref="AC9:AN9"/>
    <mergeCell ref="O40:P40"/>
  </mergeCells>
  <dataValidations count="1">
    <dataValidation allowBlank="1" sqref="A35 B36:B39 AO83:AR83 J41:N41 B72:B100 C39:C52 P41:P61 AQ84:AR99 C72:C85 AQ72:AR76 AQ78:AR82 D77:D85 C87:D101 O40:O61 D39:H39 Q35:W59 Q61:W61 K39:P39 C128:AN142 C35:C37 H10:J10 E35:P37 B113:B141 AO141:AP142 AO100:AR101 AO118:AP118 AO124:AP124 C113:AN126 D72:M76 E77:M101 N72:AN101 AO77:AR77 D38 F38 H38 J38 L38 N38 E33:F33 AQ128:AR142 AQ113:AR126 D36 C33 G41:I61 D41:E52 C53:E61 P38 F41"/>
  </dataValidations>
  <pageMargins left="0.19685039370078741" right="0.19685039370078741" top="0.39370078740157483" bottom="0.39370078740157483" header="0" footer="0"/>
  <pageSetup paperSize="9" scale="54" orientation="landscape" r:id="rId1"/>
  <colBreaks count="2" manualBreakCount="2">
    <brk id="23" min="67" max="100" man="1"/>
    <brk id="50" min="67" max="10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3"/>
  <sheetViews>
    <sheetView tabSelected="1" zoomScale="80" zoomScaleNormal="80" workbookViewId="0"/>
  </sheetViews>
  <sheetFormatPr defaultRowHeight="15"/>
  <cols>
    <col min="1" max="1" width="2.7109375" style="1548" customWidth="1"/>
    <col min="2" max="2" width="55.7109375" style="1548" customWidth="1"/>
    <col min="3" max="15" width="13.28515625" style="1548" customWidth="1"/>
    <col min="16" max="16" width="5.7109375" style="1549" customWidth="1"/>
    <col min="17" max="19" width="13.28515625" style="1548" customWidth="1"/>
    <col min="20" max="20" width="5.7109375" style="1548" customWidth="1"/>
    <col min="21" max="21" width="16.7109375" style="1548" customWidth="1"/>
    <col min="22" max="22" width="2.7109375" style="1548" customWidth="1"/>
    <col min="23" max="23" width="6.7109375" style="1548" customWidth="1"/>
    <col min="24" max="29" width="13.7109375" style="1548" customWidth="1"/>
    <col min="30" max="31" width="6.7109375" style="1548" customWidth="1"/>
    <col min="32" max="37" width="13.7109375" style="1548" customWidth="1"/>
    <col min="38" max="38" width="6.7109375" style="1548" customWidth="1"/>
    <col min="39" max="39" width="9.140625" style="1548"/>
    <col min="40" max="40" width="14.7109375" style="1548" hidden="1" customWidth="1"/>
    <col min="41" max="16384" width="9.140625" style="1548"/>
  </cols>
  <sheetData>
    <row r="1" spans="1:40" s="1550" customFormat="1" ht="24.95" customHeight="1">
      <c r="A1" s="1055"/>
      <c r="B1" s="933" t="s">
        <v>275</v>
      </c>
      <c r="C1" s="1060"/>
      <c r="D1" s="1061"/>
      <c r="E1" s="1060"/>
      <c r="F1" s="1062"/>
      <c r="G1" s="1062"/>
      <c r="H1" s="1062"/>
      <c r="I1" s="1062"/>
      <c r="J1" s="1062"/>
      <c r="K1" s="1062"/>
      <c r="L1" s="1062"/>
      <c r="M1" s="1062"/>
      <c r="N1" s="1062"/>
      <c r="O1" s="1062"/>
      <c r="P1" s="1063"/>
      <c r="Q1" s="1062"/>
      <c r="R1" s="1062"/>
      <c r="S1" s="1062"/>
      <c r="T1" s="1062"/>
      <c r="U1" s="1064"/>
      <c r="V1" s="1065"/>
      <c r="W1" s="1066"/>
      <c r="X1" s="1067"/>
      <c r="Y1" s="1068"/>
      <c r="Z1" s="1068"/>
      <c r="AA1" s="1067"/>
      <c r="AB1" s="1069"/>
      <c r="AC1" s="1069"/>
      <c r="AD1" s="1070"/>
      <c r="AE1" s="1071"/>
      <c r="AF1" s="1071"/>
      <c r="AG1" s="1071"/>
      <c r="AH1" s="1071"/>
      <c r="AI1" s="1071"/>
      <c r="AJ1" s="1071"/>
      <c r="AK1" s="1071" t="s">
        <v>80</v>
      </c>
      <c r="AL1" s="1072"/>
    </row>
    <row r="2" spans="1:40" s="1550" customFormat="1" ht="15" customHeight="1">
      <c r="A2" s="1056"/>
      <c r="B2" s="937"/>
      <c r="C2" s="277"/>
      <c r="D2" s="278"/>
      <c r="E2" s="279"/>
      <c r="F2" s="279"/>
      <c r="G2" s="278"/>
      <c r="H2" s="279"/>
      <c r="I2" s="279"/>
      <c r="J2" s="279"/>
      <c r="K2" s="279"/>
      <c r="L2" s="279"/>
      <c r="M2" s="279"/>
      <c r="N2" s="279"/>
      <c r="O2" s="279"/>
      <c r="P2" s="280"/>
      <c r="Q2" s="279"/>
      <c r="R2" s="279"/>
      <c r="S2" s="279"/>
      <c r="T2" s="279"/>
      <c r="U2" s="281"/>
      <c r="V2" s="1073"/>
      <c r="W2" s="282"/>
      <c r="X2" s="283"/>
      <c r="Y2" s="284"/>
      <c r="Z2" s="284"/>
      <c r="AA2" s="285"/>
      <c r="AB2" s="285"/>
      <c r="AC2" s="285"/>
      <c r="AD2" s="1074"/>
      <c r="AE2" s="286"/>
      <c r="AF2" s="286"/>
      <c r="AG2" s="286"/>
      <c r="AH2" s="286"/>
      <c r="AI2" s="286"/>
      <c r="AJ2" s="286"/>
      <c r="AK2" s="286"/>
      <c r="AL2" s="1075"/>
    </row>
    <row r="3" spans="1:40" s="1550" customFormat="1" ht="30" customHeight="1">
      <c r="A3" s="1056"/>
      <c r="B3" s="1052" t="s">
        <v>0</v>
      </c>
      <c r="C3" s="1649" t="str">
        <f>Background!$D$2</f>
        <v>Glasgow, University of</v>
      </c>
      <c r="D3" s="1650"/>
      <c r="E3" s="1611"/>
      <c r="F3" s="555"/>
      <c r="G3" s="279"/>
      <c r="H3" s="279"/>
      <c r="I3" s="279"/>
      <c r="J3" s="279"/>
      <c r="K3" s="279"/>
      <c r="L3" s="279"/>
      <c r="M3" s="279"/>
      <c r="N3" s="279"/>
      <c r="O3" s="279"/>
      <c r="P3" s="280"/>
      <c r="Q3" s="279"/>
      <c r="R3" s="279"/>
      <c r="S3" s="279"/>
      <c r="T3" s="279"/>
      <c r="U3" s="281"/>
      <c r="V3" s="1073"/>
      <c r="W3" s="282"/>
      <c r="X3" s="283"/>
      <c r="Y3" s="283"/>
      <c r="Z3" s="283"/>
      <c r="AA3" s="283"/>
      <c r="AB3" s="283"/>
      <c r="AC3" s="283"/>
      <c r="AD3" s="1076"/>
      <c r="AE3" s="287"/>
      <c r="AF3" s="287"/>
      <c r="AG3" s="287"/>
      <c r="AH3" s="287"/>
      <c r="AI3" s="287"/>
      <c r="AJ3" s="287"/>
      <c r="AK3" s="287"/>
      <c r="AL3" s="1077"/>
    </row>
    <row r="4" spans="1:40" s="1551" customFormat="1" ht="30" customHeight="1">
      <c r="A4" s="1057"/>
      <c r="B4" s="1053" t="s">
        <v>441</v>
      </c>
      <c r="C4" s="281"/>
      <c r="D4" s="281"/>
      <c r="E4" s="281"/>
      <c r="F4" s="281"/>
      <c r="G4" s="281"/>
      <c r="H4" s="281"/>
      <c r="I4" s="281"/>
      <c r="J4" s="281"/>
      <c r="K4" s="281"/>
      <c r="L4" s="281"/>
      <c r="M4" s="281"/>
      <c r="N4" s="281"/>
      <c r="O4" s="281"/>
      <c r="P4" s="280"/>
      <c r="Q4" s="281"/>
      <c r="R4" s="281"/>
      <c r="S4" s="281"/>
      <c r="T4" s="281"/>
      <c r="U4" s="281"/>
      <c r="V4" s="1078"/>
      <c r="W4" s="288"/>
      <c r="X4" s="1657" t="s">
        <v>286</v>
      </c>
      <c r="Y4" s="1657"/>
      <c r="Z4" s="1657"/>
      <c r="AA4" s="1657"/>
      <c r="AB4" s="1657"/>
      <c r="AC4" s="1657"/>
      <c r="AD4" s="1079"/>
      <c r="AE4" s="289"/>
      <c r="AF4" s="1612" t="s">
        <v>287</v>
      </c>
      <c r="AG4" s="1612"/>
      <c r="AH4" s="1612"/>
      <c r="AI4" s="1612"/>
      <c r="AJ4" s="1612"/>
      <c r="AK4" s="1612"/>
      <c r="AL4" s="1080"/>
    </row>
    <row r="5" spans="1:40" s="1551" customFormat="1" ht="15" customHeight="1" thickBot="1">
      <c r="A5" s="1057"/>
      <c r="B5" s="1054"/>
      <c r="C5" s="281"/>
      <c r="D5" s="281"/>
      <c r="E5" s="281"/>
      <c r="F5" s="281"/>
      <c r="G5" s="281"/>
      <c r="H5" s="281"/>
      <c r="I5" s="281"/>
      <c r="J5" s="281"/>
      <c r="K5" s="281"/>
      <c r="L5" s="281"/>
      <c r="M5" s="281"/>
      <c r="N5" s="281"/>
      <c r="O5" s="281"/>
      <c r="P5" s="281"/>
      <c r="Q5" s="281"/>
      <c r="R5" s="281"/>
      <c r="S5" s="281"/>
      <c r="T5" s="281"/>
      <c r="U5" s="281"/>
      <c r="V5" s="1078"/>
      <c r="W5" s="288"/>
      <c r="X5" s="290"/>
      <c r="Y5" s="290"/>
      <c r="Z5" s="290"/>
      <c r="AA5" s="291"/>
      <c r="AB5" s="291"/>
      <c r="AC5" s="291"/>
      <c r="AD5" s="1079"/>
      <c r="AE5" s="289"/>
      <c r="AF5" s="289"/>
      <c r="AG5" s="289"/>
      <c r="AH5" s="289"/>
      <c r="AI5" s="289"/>
      <c r="AJ5" s="289"/>
      <c r="AK5" s="289"/>
      <c r="AL5" s="1080"/>
    </row>
    <row r="6" spans="1:40" s="1551" customFormat="1" ht="35.1" customHeight="1" thickBot="1">
      <c r="A6" s="1050"/>
      <c r="B6" s="292"/>
      <c r="C6" s="1613" t="s">
        <v>100</v>
      </c>
      <c r="D6" s="1614"/>
      <c r="E6" s="1614"/>
      <c r="F6" s="1614"/>
      <c r="G6" s="1614"/>
      <c r="H6" s="1614"/>
      <c r="I6" s="1614"/>
      <c r="J6" s="1614"/>
      <c r="K6" s="1614"/>
      <c r="L6" s="1614"/>
      <c r="M6" s="1614"/>
      <c r="N6" s="1614"/>
      <c r="O6" s="1615"/>
      <c r="P6" s="293"/>
      <c r="Q6" s="1621" t="s">
        <v>173</v>
      </c>
      <c r="R6" s="1622"/>
      <c r="S6" s="1623"/>
      <c r="T6" s="281"/>
      <c r="U6" s="1651" t="s">
        <v>446</v>
      </c>
      <c r="V6" s="1078"/>
      <c r="W6" s="294"/>
      <c r="X6" s="1631" t="s">
        <v>100</v>
      </c>
      <c r="Y6" s="1632"/>
      <c r="Z6" s="1633"/>
      <c r="AA6" s="1631" t="s">
        <v>273</v>
      </c>
      <c r="AB6" s="1632"/>
      <c r="AC6" s="1633"/>
      <c r="AD6" s="1081"/>
      <c r="AE6" s="295"/>
      <c r="AF6" s="1642" t="s">
        <v>100</v>
      </c>
      <c r="AG6" s="1643"/>
      <c r="AH6" s="1644"/>
      <c r="AI6" s="1642" t="s">
        <v>273</v>
      </c>
      <c r="AJ6" s="1643"/>
      <c r="AK6" s="1644"/>
      <c r="AL6" s="1082"/>
      <c r="AN6" s="1630" t="s">
        <v>288</v>
      </c>
    </row>
    <row r="7" spans="1:40" ht="45" customHeight="1">
      <c r="A7" s="1051"/>
      <c r="B7" s="296"/>
      <c r="C7" s="1653" t="s">
        <v>101</v>
      </c>
      <c r="D7" s="1654"/>
      <c r="E7" s="1654"/>
      <c r="F7" s="1654"/>
      <c r="G7" s="1654"/>
      <c r="H7" s="1654"/>
      <c r="I7" s="1655"/>
      <c r="J7" s="1656" t="s">
        <v>102</v>
      </c>
      <c r="K7" s="1628"/>
      <c r="L7" s="1629"/>
      <c r="M7" s="1627" t="s">
        <v>2</v>
      </c>
      <c r="N7" s="1628"/>
      <c r="O7" s="1629"/>
      <c r="P7" s="293"/>
      <c r="Q7" s="1624"/>
      <c r="R7" s="1625"/>
      <c r="S7" s="1626"/>
      <c r="T7" s="297"/>
      <c r="U7" s="1652"/>
      <c r="V7" s="1083"/>
      <c r="W7" s="298"/>
      <c r="X7" s="1634" t="s">
        <v>444</v>
      </c>
      <c r="Y7" s="1636" t="s">
        <v>445</v>
      </c>
      <c r="Z7" s="299" t="s">
        <v>2</v>
      </c>
      <c r="AA7" s="1634" t="s">
        <v>444</v>
      </c>
      <c r="AB7" s="1636" t="s">
        <v>445</v>
      </c>
      <c r="AC7" s="299" t="s">
        <v>2</v>
      </c>
      <c r="AD7" s="1084"/>
      <c r="AE7" s="300"/>
      <c r="AF7" s="1645" t="s">
        <v>444</v>
      </c>
      <c r="AG7" s="1647" t="s">
        <v>445</v>
      </c>
      <c r="AH7" s="301" t="s">
        <v>2</v>
      </c>
      <c r="AI7" s="1645" t="s">
        <v>444</v>
      </c>
      <c r="AJ7" s="1647" t="s">
        <v>445</v>
      </c>
      <c r="AK7" s="301" t="s">
        <v>2</v>
      </c>
      <c r="AL7" s="1085"/>
      <c r="AN7" s="1630"/>
    </row>
    <row r="8" spans="1:40" ht="39.950000000000003" customHeight="1">
      <c r="A8" s="1051"/>
      <c r="B8" s="302"/>
      <c r="C8" s="1616" t="s">
        <v>103</v>
      </c>
      <c r="D8" s="1617"/>
      <c r="E8" s="1617"/>
      <c r="F8" s="303" t="s">
        <v>1</v>
      </c>
      <c r="G8" s="1618" t="s">
        <v>2</v>
      </c>
      <c r="H8" s="1619"/>
      <c r="I8" s="1620"/>
      <c r="J8" s="1638" t="s">
        <v>103</v>
      </c>
      <c r="K8" s="304" t="s">
        <v>1</v>
      </c>
      <c r="L8" s="305" t="s">
        <v>2</v>
      </c>
      <c r="M8" s="1640" t="s">
        <v>87</v>
      </c>
      <c r="N8" s="306" t="s">
        <v>1</v>
      </c>
      <c r="O8" s="563" t="s">
        <v>2</v>
      </c>
      <c r="P8" s="307"/>
      <c r="Q8" s="1641" t="s">
        <v>87</v>
      </c>
      <c r="R8" s="308" t="s">
        <v>1</v>
      </c>
      <c r="S8" s="309" t="s">
        <v>2</v>
      </c>
      <c r="T8" s="297"/>
      <c r="U8" s="1652"/>
      <c r="V8" s="1083"/>
      <c r="W8" s="294"/>
      <c r="X8" s="1635"/>
      <c r="Y8" s="1637"/>
      <c r="Z8" s="310"/>
      <c r="AA8" s="1635"/>
      <c r="AB8" s="1637"/>
      <c r="AC8" s="310"/>
      <c r="AD8" s="1081"/>
      <c r="AE8" s="295"/>
      <c r="AF8" s="1646"/>
      <c r="AG8" s="1648"/>
      <c r="AH8" s="311"/>
      <c r="AI8" s="1646"/>
      <c r="AJ8" s="1648"/>
      <c r="AK8" s="311"/>
      <c r="AL8" s="1082"/>
      <c r="AN8" s="1630"/>
    </row>
    <row r="9" spans="1:40" ht="90" customHeight="1">
      <c r="A9" s="1051"/>
      <c r="B9" s="312" t="s">
        <v>303</v>
      </c>
      <c r="C9" s="313" t="s">
        <v>305</v>
      </c>
      <c r="D9" s="313" t="s">
        <v>104</v>
      </c>
      <c r="E9" s="314" t="s">
        <v>2</v>
      </c>
      <c r="F9" s="313" t="s">
        <v>104</v>
      </c>
      <c r="G9" s="313" t="s">
        <v>305</v>
      </c>
      <c r="H9" s="313" t="s">
        <v>104</v>
      </c>
      <c r="I9" s="315" t="s">
        <v>2</v>
      </c>
      <c r="J9" s="1639"/>
      <c r="K9" s="316"/>
      <c r="L9" s="317"/>
      <c r="M9" s="1640"/>
      <c r="N9" s="318"/>
      <c r="O9" s="319"/>
      <c r="P9" s="297"/>
      <c r="Q9" s="1640"/>
      <c r="R9" s="318"/>
      <c r="S9" s="319"/>
      <c r="T9" s="297"/>
      <c r="U9" s="1652"/>
      <c r="V9" s="1083"/>
      <c r="W9" s="320"/>
      <c r="X9" s="1635"/>
      <c r="Y9" s="1637"/>
      <c r="Z9" s="310"/>
      <c r="AA9" s="1635"/>
      <c r="AB9" s="1637"/>
      <c r="AC9" s="310"/>
      <c r="AD9" s="1086"/>
      <c r="AE9" s="321"/>
      <c r="AF9" s="1646"/>
      <c r="AG9" s="1648"/>
      <c r="AH9" s="311"/>
      <c r="AI9" s="1646"/>
      <c r="AJ9" s="1648"/>
      <c r="AK9" s="311"/>
      <c r="AL9" s="1087"/>
      <c r="AN9" s="1630"/>
    </row>
    <row r="10" spans="1:40" ht="30" customHeight="1">
      <c r="A10" s="1051"/>
      <c r="B10" s="323"/>
      <c r="C10" s="324" t="s">
        <v>32</v>
      </c>
      <c r="D10" s="325" t="s">
        <v>32</v>
      </c>
      <c r="E10" s="325" t="s">
        <v>32</v>
      </c>
      <c r="F10" s="326" t="s">
        <v>32</v>
      </c>
      <c r="G10" s="325" t="s">
        <v>32</v>
      </c>
      <c r="H10" s="325" t="s">
        <v>32</v>
      </c>
      <c r="I10" s="327" t="s">
        <v>32</v>
      </c>
      <c r="J10" s="324" t="s">
        <v>32</v>
      </c>
      <c r="K10" s="325" t="s">
        <v>32</v>
      </c>
      <c r="L10" s="327" t="s">
        <v>32</v>
      </c>
      <c r="M10" s="326" t="s">
        <v>32</v>
      </c>
      <c r="N10" s="326" t="s">
        <v>32</v>
      </c>
      <c r="O10" s="327" t="s">
        <v>32</v>
      </c>
      <c r="P10" s="328"/>
      <c r="Q10" s="329" t="s">
        <v>32</v>
      </c>
      <c r="R10" s="326" t="s">
        <v>32</v>
      </c>
      <c r="S10" s="330" t="s">
        <v>32</v>
      </c>
      <c r="T10" s="297"/>
      <c r="U10" s="331" t="s">
        <v>32</v>
      </c>
      <c r="V10" s="1083"/>
      <c r="W10" s="320"/>
      <c r="X10" s="332" t="s">
        <v>32</v>
      </c>
      <c r="Y10" s="333" t="s">
        <v>32</v>
      </c>
      <c r="Z10" s="334" t="s">
        <v>32</v>
      </c>
      <c r="AA10" s="332"/>
      <c r="AB10" s="333"/>
      <c r="AC10" s="334"/>
      <c r="AD10" s="1086"/>
      <c r="AE10" s="321"/>
      <c r="AF10" s="335" t="s">
        <v>32</v>
      </c>
      <c r="AG10" s="336" t="s">
        <v>32</v>
      </c>
      <c r="AH10" s="337" t="s">
        <v>32</v>
      </c>
      <c r="AI10" s="335"/>
      <c r="AJ10" s="336"/>
      <c r="AK10" s="337"/>
      <c r="AL10" s="1087"/>
    </row>
    <row r="11" spans="1:40" ht="39.950000000000003" customHeight="1">
      <c r="A11" s="1051"/>
      <c r="B11" s="323"/>
      <c r="C11" s="338" t="s">
        <v>47</v>
      </c>
      <c r="D11" s="339" t="s">
        <v>47</v>
      </c>
      <c r="E11" s="340" t="s">
        <v>119</v>
      </c>
      <c r="F11" s="339" t="s">
        <v>47</v>
      </c>
      <c r="G11" s="340" t="s">
        <v>75</v>
      </c>
      <c r="H11" s="340" t="s">
        <v>75</v>
      </c>
      <c r="I11" s="340" t="s">
        <v>75</v>
      </c>
      <c r="J11" s="341" t="s">
        <v>47</v>
      </c>
      <c r="K11" s="339" t="s">
        <v>47</v>
      </c>
      <c r="L11" s="342" t="s">
        <v>119</v>
      </c>
      <c r="M11" s="343" t="s">
        <v>75</v>
      </c>
      <c r="N11" s="340" t="s">
        <v>75</v>
      </c>
      <c r="O11" s="342" t="s">
        <v>75</v>
      </c>
      <c r="P11" s="328"/>
      <c r="Q11" s="341" t="s">
        <v>47</v>
      </c>
      <c r="R11" s="339" t="s">
        <v>47</v>
      </c>
      <c r="S11" s="342" t="s">
        <v>75</v>
      </c>
      <c r="T11" s="297"/>
      <c r="U11" s="344" t="s">
        <v>75</v>
      </c>
      <c r="V11" s="1083"/>
      <c r="W11" s="320"/>
      <c r="X11" s="345" t="s">
        <v>76</v>
      </c>
      <c r="Y11" s="346" t="s">
        <v>76</v>
      </c>
      <c r="Z11" s="347" t="s">
        <v>76</v>
      </c>
      <c r="AA11" s="345" t="s">
        <v>76</v>
      </c>
      <c r="AB11" s="346" t="s">
        <v>76</v>
      </c>
      <c r="AC11" s="347" t="s">
        <v>76</v>
      </c>
      <c r="AD11" s="1086"/>
      <c r="AE11" s="321"/>
      <c r="AF11" s="348" t="s">
        <v>76</v>
      </c>
      <c r="AG11" s="349" t="s">
        <v>76</v>
      </c>
      <c r="AH11" s="350" t="s">
        <v>76</v>
      </c>
      <c r="AI11" s="348" t="s">
        <v>76</v>
      </c>
      <c r="AJ11" s="349" t="s">
        <v>76</v>
      </c>
      <c r="AK11" s="350" t="s">
        <v>76</v>
      </c>
      <c r="AL11" s="1087"/>
    </row>
    <row r="12" spans="1:40" ht="30" customHeight="1" thickBot="1">
      <c r="A12" s="1051"/>
      <c r="B12" s="323"/>
      <c r="C12" s="240" t="s">
        <v>4</v>
      </c>
      <c r="D12" s="242" t="s">
        <v>5</v>
      </c>
      <c r="E12" s="351" t="s">
        <v>6</v>
      </c>
      <c r="F12" s="242" t="s">
        <v>7</v>
      </c>
      <c r="G12" s="242" t="s">
        <v>8</v>
      </c>
      <c r="H12" s="242" t="s">
        <v>9</v>
      </c>
      <c r="I12" s="351" t="s">
        <v>59</v>
      </c>
      <c r="J12" s="352" t="s">
        <v>60</v>
      </c>
      <c r="K12" s="242" t="s">
        <v>61</v>
      </c>
      <c r="L12" s="243" t="s">
        <v>10</v>
      </c>
      <c r="M12" s="242" t="s">
        <v>11</v>
      </c>
      <c r="N12" s="242" t="s">
        <v>12</v>
      </c>
      <c r="O12" s="243" t="s">
        <v>13</v>
      </c>
      <c r="P12" s="328"/>
      <c r="Q12" s="352" t="s">
        <v>14</v>
      </c>
      <c r="R12" s="242" t="s">
        <v>15</v>
      </c>
      <c r="S12" s="243" t="s">
        <v>16</v>
      </c>
      <c r="T12" s="297"/>
      <c r="U12" s="353" t="s">
        <v>17</v>
      </c>
      <c r="V12" s="1083"/>
      <c r="W12" s="320"/>
      <c r="X12" s="354" t="s">
        <v>83</v>
      </c>
      <c r="Y12" s="355" t="s">
        <v>84</v>
      </c>
      <c r="Z12" s="356" t="s">
        <v>105</v>
      </c>
      <c r="AA12" s="357" t="s">
        <v>106</v>
      </c>
      <c r="AB12" s="355" t="s">
        <v>107</v>
      </c>
      <c r="AC12" s="358" t="s">
        <v>139</v>
      </c>
      <c r="AD12" s="1086"/>
      <c r="AE12" s="321"/>
      <c r="AF12" s="359" t="s">
        <v>140</v>
      </c>
      <c r="AG12" s="360" t="s">
        <v>141</v>
      </c>
      <c r="AH12" s="361" t="s">
        <v>142</v>
      </c>
      <c r="AI12" s="359" t="s">
        <v>143</v>
      </c>
      <c r="AJ12" s="360" t="s">
        <v>144</v>
      </c>
      <c r="AK12" s="361" t="s">
        <v>145</v>
      </c>
      <c r="AL12" s="1087"/>
    </row>
    <row r="13" spans="1:40" ht="35.1" customHeight="1" thickBot="1">
      <c r="A13" s="1051"/>
      <c r="B13" s="362" t="s">
        <v>26</v>
      </c>
      <c r="C13" s="363"/>
      <c r="D13" s="364"/>
      <c r="E13" s="1583">
        <v>1164.75</v>
      </c>
      <c r="F13" s="365"/>
      <c r="G13" s="366"/>
      <c r="H13" s="366"/>
      <c r="I13" s="367">
        <f>SUM(E13,F13)</f>
        <v>1164.75</v>
      </c>
      <c r="J13" s="1584">
        <v>155.63999999999999</v>
      </c>
      <c r="K13" s="1585">
        <v>11.6</v>
      </c>
      <c r="L13" s="368">
        <f>SUM(J13:K13)</f>
        <v>167.23999999999998</v>
      </c>
      <c r="M13" s="369">
        <f>E13+J13</f>
        <v>1320.3899999999999</v>
      </c>
      <c r="N13" s="370">
        <f>SUM(F13,K13)</f>
        <v>11.6</v>
      </c>
      <c r="O13" s="428">
        <f>SUM(M13:N13)</f>
        <v>1331.9899999999998</v>
      </c>
      <c r="P13" s="297"/>
      <c r="Q13" s="372"/>
      <c r="R13" s="373"/>
      <c r="S13" s="374"/>
      <c r="T13" s="297"/>
      <c r="U13" s="375"/>
      <c r="V13" s="1083"/>
      <c r="W13" s="320"/>
      <c r="X13" s="376">
        <f>VLOOKUP($AN13,Early_Stats_Last_Year,VLOOKUP(Background!$C$2,Inst_Tables,15,FALSE),FALSE)</f>
        <v>1214.55</v>
      </c>
      <c r="Y13" s="377">
        <f>VLOOKUP($AN13,Early_Stats_Last_Year,VLOOKUP(Background!$C$2,Inst_Tables,16,FALSE),FALSE)</f>
        <v>163.51</v>
      </c>
      <c r="Z13" s="378">
        <f>SUM(X13:Y13)</f>
        <v>1378.06</v>
      </c>
      <c r="AA13" s="379">
        <f>IF(X13&gt;0,(I13-X13)/X13,"")</f>
        <v>-4.1002840558231411E-2</v>
      </c>
      <c r="AB13" s="380">
        <f>IF(Y13&gt;0,(L13-Y13)/Y13,"")</f>
        <v>2.2812060424438813E-2</v>
      </c>
      <c r="AC13" s="381">
        <f>IF(Z13&gt;0,(O13-Z13)/Z13,"")</f>
        <v>-3.3431055251585684E-2</v>
      </c>
      <c r="AD13" s="1086"/>
      <c r="AE13" s="321"/>
      <c r="AF13" s="382">
        <f>VLOOKUP($AN13,Final_Figures_Last_Year,VLOOKUP(Background!$C$2,Inst_Tables,15,FALSE),FALSE)</f>
        <v>1193</v>
      </c>
      <c r="AG13" s="383">
        <f>VLOOKUP($AN13,Final_Figures_Last_Year,VLOOKUP(Background!$C$2,Inst_Tables,16,FALSE),FALSE)</f>
        <v>175.08</v>
      </c>
      <c r="AH13" s="384">
        <f>SUM(AF13:AG13)</f>
        <v>1368.08</v>
      </c>
      <c r="AI13" s="385">
        <f>IF(AF13&gt;0,(I13-AF13)/AF13,"")</f>
        <v>-2.3679798826487845E-2</v>
      </c>
      <c r="AJ13" s="386">
        <f>IF(AG13&gt;0,(L13-AG13)/AG13,"")</f>
        <v>-4.4779529358007948E-2</v>
      </c>
      <c r="AK13" s="387">
        <f>IF(AH13&gt;0,(O13-AH13)/AH13,"")</f>
        <v>-2.6380036255189861E-2</v>
      </c>
      <c r="AL13" s="1087"/>
      <c r="AN13" s="1552">
        <v>1</v>
      </c>
    </row>
    <row r="14" spans="1:40" ht="35.1" customHeight="1">
      <c r="A14" s="1051"/>
      <c r="B14" s="388" t="s">
        <v>23</v>
      </c>
      <c r="C14" s="389"/>
      <c r="D14" s="390"/>
      <c r="E14" s="391"/>
      <c r="F14" s="390"/>
      <c r="G14" s="373"/>
      <c r="H14" s="373"/>
      <c r="I14" s="392"/>
      <c r="J14" s="389"/>
      <c r="K14" s="390"/>
      <c r="L14" s="392"/>
      <c r="M14" s="373"/>
      <c r="N14" s="373"/>
      <c r="O14" s="392"/>
      <c r="P14" s="297"/>
      <c r="Q14" s="372"/>
      <c r="R14" s="373"/>
      <c r="S14" s="374"/>
      <c r="T14" s="297"/>
      <c r="U14" s="393"/>
      <c r="V14" s="1083"/>
      <c r="W14" s="320"/>
      <c r="X14" s="394"/>
      <c r="Y14" s="395"/>
      <c r="Z14" s="396"/>
      <c r="AA14" s="397"/>
      <c r="AB14" s="395"/>
      <c r="AC14" s="398"/>
      <c r="AD14" s="1086"/>
      <c r="AE14" s="321"/>
      <c r="AF14" s="399"/>
      <c r="AG14" s="400"/>
      <c r="AH14" s="401"/>
      <c r="AI14" s="402"/>
      <c r="AJ14" s="400"/>
      <c r="AK14" s="403"/>
      <c r="AL14" s="1087"/>
      <c r="AN14" s="1553"/>
    </row>
    <row r="15" spans="1:40" ht="30" customHeight="1">
      <c r="A15" s="1051"/>
      <c r="B15" s="404" t="s">
        <v>108</v>
      </c>
      <c r="C15" s="405"/>
      <c r="D15" s="406"/>
      <c r="E15" s="407"/>
      <c r="F15" s="406"/>
      <c r="G15" s="408"/>
      <c r="H15" s="408"/>
      <c r="I15" s="409"/>
      <c r="J15" s="405"/>
      <c r="K15" s="406"/>
      <c r="L15" s="409"/>
      <c r="M15" s="408"/>
      <c r="N15" s="408"/>
      <c r="O15" s="409"/>
      <c r="P15" s="297"/>
      <c r="Q15" s="410"/>
      <c r="R15" s="318"/>
      <c r="S15" s="411"/>
      <c r="T15" s="297"/>
      <c r="U15" s="375"/>
      <c r="V15" s="1083"/>
      <c r="W15" s="320"/>
      <c r="X15" s="412"/>
      <c r="Y15" s="413"/>
      <c r="Z15" s="414"/>
      <c r="AA15" s="415"/>
      <c r="AB15" s="413"/>
      <c r="AC15" s="416"/>
      <c r="AD15" s="1086"/>
      <c r="AE15" s="321"/>
      <c r="AF15" s="417"/>
      <c r="AG15" s="418"/>
      <c r="AH15" s="419"/>
      <c r="AI15" s="420"/>
      <c r="AJ15" s="418"/>
      <c r="AK15" s="322"/>
      <c r="AL15" s="1087"/>
      <c r="AN15" s="1553"/>
    </row>
    <row r="16" spans="1:40" ht="30" customHeight="1">
      <c r="A16" s="1051"/>
      <c r="B16" s="421" t="s">
        <v>211</v>
      </c>
      <c r="C16" s="422"/>
      <c r="D16" s="423"/>
      <c r="E16" s="424">
        <f>SUM(C16:D16)</f>
        <v>0</v>
      </c>
      <c r="F16" s="423"/>
      <c r="G16" s="370"/>
      <c r="H16" s="370">
        <f>SUM(D16,F16)</f>
        <v>0</v>
      </c>
      <c r="I16" s="424">
        <f>SUM(G16:H16)</f>
        <v>0</v>
      </c>
      <c r="J16" s="425"/>
      <c r="K16" s="423"/>
      <c r="L16" s="426">
        <f>SUM(J16:K16)</f>
        <v>0</v>
      </c>
      <c r="M16" s="427">
        <f>SUM(E16,J16)</f>
        <v>0</v>
      </c>
      <c r="N16" s="370">
        <f>SUM(F16,K16)</f>
        <v>0</v>
      </c>
      <c r="O16" s="428">
        <f>SUM(M16:N16)</f>
        <v>0</v>
      </c>
      <c r="P16" s="297"/>
      <c r="Q16" s="429"/>
      <c r="R16" s="430"/>
      <c r="S16" s="411"/>
      <c r="T16" s="297"/>
      <c r="U16" s="471">
        <f>O16</f>
        <v>0</v>
      </c>
      <c r="V16" s="1083"/>
      <c r="W16" s="320"/>
      <c r="X16" s="431">
        <f>VLOOKUP($AN16,Early_Stats_Last_Year,VLOOKUP(Background!$C$2,Inst_Tables,15,FALSE),FALSE)</f>
        <v>0</v>
      </c>
      <c r="Y16" s="432">
        <f>VLOOKUP($AN16,Early_Stats_Last_Year,VLOOKUP(Background!$C$2,Inst_Tables,16,FALSE),FALSE)</f>
        <v>0</v>
      </c>
      <c r="Z16" s="433">
        <f>SUM(X16:Y16)</f>
        <v>0</v>
      </c>
      <c r="AA16" s="434" t="str">
        <f>IF(X16&gt;0,(I16-X16)/X16,"")</f>
        <v/>
      </c>
      <c r="AB16" s="435" t="str">
        <f>IF(Y16&gt;0,(L16-Y16)/Y16,"")</f>
        <v/>
      </c>
      <c r="AC16" s="436" t="str">
        <f>IF(Z16&gt;0,(O16-Z16)/Z16,"")</f>
        <v/>
      </c>
      <c r="AD16" s="1086"/>
      <c r="AE16" s="321"/>
      <c r="AF16" s="437">
        <f>VLOOKUP($AN16,Final_Figures_Last_Year,VLOOKUP(Background!$C$2,Inst_Tables,15,FALSE),FALSE)</f>
        <v>0</v>
      </c>
      <c r="AG16" s="438">
        <f>VLOOKUP($AN16,Final_Figures_Last_Year,VLOOKUP(Background!$C$2,Inst_Tables,16,FALSE),FALSE)</f>
        <v>0</v>
      </c>
      <c r="AH16" s="439">
        <f>SUM(AF16:AG16)</f>
        <v>0</v>
      </c>
      <c r="AI16" s="627" t="str">
        <f>IF(AF16&gt;0,(I16-AF16)/AF16,"")</f>
        <v/>
      </c>
      <c r="AJ16" s="441" t="str">
        <f>IF(AG16&gt;0,(L16-AG16)/AG16,"")</f>
        <v/>
      </c>
      <c r="AK16" s="442" t="str">
        <f>IF(AH16&gt;0,(O16-AH16)/AH16,"")</f>
        <v/>
      </c>
      <c r="AL16" s="1087"/>
      <c r="AN16" s="1552">
        <v>2</v>
      </c>
    </row>
    <row r="17" spans="1:40" ht="30" customHeight="1">
      <c r="A17" s="1051"/>
      <c r="B17" s="404" t="s">
        <v>110</v>
      </c>
      <c r="C17" s="425">
        <v>78</v>
      </c>
      <c r="D17" s="423">
        <v>794</v>
      </c>
      <c r="E17" s="424">
        <f>SUM(C17:D17)</f>
        <v>872</v>
      </c>
      <c r="F17" s="423">
        <v>19.899999999999999</v>
      </c>
      <c r="G17" s="370">
        <f>C17</f>
        <v>78</v>
      </c>
      <c r="H17" s="370">
        <f>SUM(D17,F17)</f>
        <v>813.9</v>
      </c>
      <c r="I17" s="424">
        <f>SUM(G17:H17)</f>
        <v>891.9</v>
      </c>
      <c r="J17" s="425">
        <v>261.12299999999999</v>
      </c>
      <c r="K17" s="423">
        <v>37.1</v>
      </c>
      <c r="L17" s="426">
        <f>SUM(J17:K17)</f>
        <v>298.22300000000001</v>
      </c>
      <c r="M17" s="427">
        <f>SUM(E17,J17)</f>
        <v>1133.123</v>
      </c>
      <c r="N17" s="370">
        <f>SUM(F17,K17)</f>
        <v>57</v>
      </c>
      <c r="O17" s="428">
        <f>SUM(M17:N17)</f>
        <v>1190.123</v>
      </c>
      <c r="P17" s="297"/>
      <c r="Q17" s="410"/>
      <c r="R17" s="318"/>
      <c r="S17" s="411"/>
      <c r="T17" s="297"/>
      <c r="U17" s="375"/>
      <c r="V17" s="1083"/>
      <c r="W17" s="320"/>
      <c r="X17" s="431">
        <f>VLOOKUP($AN17,Early_Stats_Last_Year,VLOOKUP(Background!$C$2,Inst_Tables,15,FALSE),FALSE)</f>
        <v>850.47500000000002</v>
      </c>
      <c r="Y17" s="432">
        <f>VLOOKUP($AN17,Early_Stats_Last_Year,VLOOKUP(Background!$C$2,Inst_Tables,16,FALSE),FALSE)</f>
        <v>220.75</v>
      </c>
      <c r="Z17" s="433">
        <f>SUM(X17:Y17)</f>
        <v>1071.2249999999999</v>
      </c>
      <c r="AA17" s="434">
        <f>IF(X17&gt;0,(I17-X17)/X17,"")</f>
        <v>4.8708074899320913E-2</v>
      </c>
      <c r="AB17" s="435">
        <f>IF(Y17&gt;0,(L17-Y17)/Y17,"")</f>
        <v>0.35095356738391853</v>
      </c>
      <c r="AC17" s="436">
        <f>IF(Z17&gt;0,(O17-Z17)/Z17,"")</f>
        <v>0.11099255525216471</v>
      </c>
      <c r="AD17" s="1086"/>
      <c r="AE17" s="321"/>
      <c r="AF17" s="625">
        <f>VLOOKUP($AN17,Final_Figures_Last_Year,VLOOKUP(Background!$C$2,Inst_Tables,15,FALSE),FALSE)</f>
        <v>870.33399999999995</v>
      </c>
      <c r="AG17" s="438">
        <f>VLOOKUP($AN17,Final_Figures_Last_Year,VLOOKUP(Background!$C$2,Inst_Tables,16,FALSE),FALSE)</f>
        <v>257.82400000000001</v>
      </c>
      <c r="AH17" s="439">
        <f>SUM(AF17:AG17)</f>
        <v>1128.1579999999999</v>
      </c>
      <c r="AI17" s="628">
        <f>IF(AF17&gt;0,(I17-AF17)/AF17,"")</f>
        <v>2.4778992892383882E-2</v>
      </c>
      <c r="AJ17" s="441">
        <f>IF(AG17&gt;0,(L17-AG17)/AG17,"")</f>
        <v>0.15669216209507261</v>
      </c>
      <c r="AK17" s="626">
        <f>IF(AH17&gt;0,(O17-AH17)/AH17,"")</f>
        <v>5.4925817128452001E-2</v>
      </c>
      <c r="AL17" s="1087"/>
      <c r="AN17" s="1552">
        <v>3</v>
      </c>
    </row>
    <row r="18" spans="1:40" ht="30" customHeight="1">
      <c r="A18" s="1051"/>
      <c r="B18" s="556" t="s">
        <v>306</v>
      </c>
      <c r="C18" s="496"/>
      <c r="D18" s="557"/>
      <c r="E18" s="558"/>
      <c r="F18" s="557"/>
      <c r="G18" s="559"/>
      <c r="H18" s="560"/>
      <c r="I18" s="561"/>
      <c r="J18" s="422"/>
      <c r="K18" s="564"/>
      <c r="L18" s="565"/>
      <c r="M18" s="562"/>
      <c r="N18" s="559"/>
      <c r="O18" s="1586">
        <v>27</v>
      </c>
      <c r="P18" s="297"/>
      <c r="Q18" s="410"/>
      <c r="R18" s="318"/>
      <c r="S18" s="411"/>
      <c r="T18" s="297"/>
      <c r="U18" s="375"/>
      <c r="V18" s="1083"/>
      <c r="W18" s="320"/>
      <c r="X18" s="618"/>
      <c r="Y18" s="619"/>
      <c r="Z18" s="620"/>
      <c r="AA18" s="621"/>
      <c r="AB18" s="622"/>
      <c r="AC18" s="623"/>
      <c r="AD18" s="1086"/>
      <c r="AE18" s="321"/>
      <c r="AF18" s="625"/>
      <c r="AG18" s="438"/>
      <c r="AH18" s="439"/>
      <c r="AI18" s="628"/>
      <c r="AJ18" s="441"/>
      <c r="AK18" s="626"/>
      <c r="AL18" s="1087"/>
      <c r="AN18" s="1552"/>
    </row>
    <row r="19" spans="1:40" ht="35.1" customHeight="1" thickBot="1">
      <c r="A19" s="1051"/>
      <c r="B19" s="443" t="s">
        <v>2</v>
      </c>
      <c r="C19" s="444">
        <f>C17</f>
        <v>78</v>
      </c>
      <c r="D19" s="445">
        <f>SUM(D16:D17)</f>
        <v>794</v>
      </c>
      <c r="E19" s="446">
        <f>SUM(E16:E17)</f>
        <v>872</v>
      </c>
      <c r="F19" s="445">
        <f>SUM(F16:F17)</f>
        <v>19.899999999999999</v>
      </c>
      <c r="G19" s="445">
        <f>G17</f>
        <v>78</v>
      </c>
      <c r="H19" s="446">
        <f>SUM(H16:H17)</f>
        <v>813.9</v>
      </c>
      <c r="I19" s="447">
        <f>SUM(I16:I17)</f>
        <v>891.9</v>
      </c>
      <c r="J19" s="445">
        <f>SUM(J16:J17)</f>
        <v>261.12299999999999</v>
      </c>
      <c r="K19" s="445">
        <f>SUM(K16:K17)</f>
        <v>37.1</v>
      </c>
      <c r="L19" s="447">
        <f>SUM(L16:L17)</f>
        <v>298.22300000000001</v>
      </c>
      <c r="M19" s="445">
        <f t="shared" ref="M19:O19" si="0">SUM(M16:M17)</f>
        <v>1133.123</v>
      </c>
      <c r="N19" s="445">
        <f t="shared" si="0"/>
        <v>57</v>
      </c>
      <c r="O19" s="447">
        <f t="shared" si="0"/>
        <v>1190.123</v>
      </c>
      <c r="P19" s="297"/>
      <c r="Q19" s="449"/>
      <c r="R19" s="450"/>
      <c r="S19" s="451"/>
      <c r="T19" s="297"/>
      <c r="U19" s="452"/>
      <c r="V19" s="1083"/>
      <c r="W19" s="320"/>
      <c r="X19" s="475">
        <f>SUM(X16:X17)</f>
        <v>850.47500000000002</v>
      </c>
      <c r="Y19" s="476">
        <f>SUM(Y16:Y17)</f>
        <v>220.75</v>
      </c>
      <c r="Z19" s="617">
        <f>SUM(Z16:Z17)</f>
        <v>1071.2249999999999</v>
      </c>
      <c r="AA19" s="455">
        <f>IF(X19&gt;0,(I19-X19)/X19,"")</f>
        <v>4.8708074899320913E-2</v>
      </c>
      <c r="AB19" s="456">
        <f>IF(Y19&gt;0,(L19-Y19)/Y19,"")</f>
        <v>0.35095356738391853</v>
      </c>
      <c r="AC19" s="457">
        <f>IF(Z19&gt;0,(O19-Z19)/Z19,"")</f>
        <v>0.11099255525216471</v>
      </c>
      <c r="AD19" s="1086"/>
      <c r="AE19" s="321"/>
      <c r="AF19" s="480">
        <f>SUM(AF16:AF17)</f>
        <v>870.33399999999995</v>
      </c>
      <c r="AG19" s="481">
        <f>SUM(AG16:AG17)</f>
        <v>257.82400000000001</v>
      </c>
      <c r="AH19" s="624">
        <f>SUM(AH16:AH17)</f>
        <v>1128.1579999999999</v>
      </c>
      <c r="AI19" s="629">
        <f>IF(AF19&gt;0,(I19-AF19)/AF19,"")</f>
        <v>2.4778992892383882E-2</v>
      </c>
      <c r="AJ19" s="461">
        <f>IF(AG19&gt;0,(L19-AG19)/AG19,"")</f>
        <v>0.15669216209507261</v>
      </c>
      <c r="AK19" s="462">
        <f>IF(AH19&gt;0,(O19-AH19)/AH19,"")</f>
        <v>5.4925817128452001E-2</v>
      </c>
      <c r="AL19" s="1087"/>
      <c r="AN19" s="1553"/>
    </row>
    <row r="20" spans="1:40" ht="35.1" customHeight="1">
      <c r="A20" s="1051"/>
      <c r="B20" s="388" t="s">
        <v>24</v>
      </c>
      <c r="C20" s="389"/>
      <c r="D20" s="390"/>
      <c r="E20" s="391"/>
      <c r="F20" s="390"/>
      <c r="G20" s="373"/>
      <c r="H20" s="373"/>
      <c r="I20" s="392"/>
      <c r="J20" s="389"/>
      <c r="K20" s="390"/>
      <c r="L20" s="392"/>
      <c r="M20" s="318"/>
      <c r="N20" s="318"/>
      <c r="O20" s="319"/>
      <c r="P20" s="297"/>
      <c r="Q20" s="410"/>
      <c r="R20" s="318"/>
      <c r="S20" s="411"/>
      <c r="T20" s="297"/>
      <c r="U20" s="375"/>
      <c r="V20" s="1083"/>
      <c r="W20" s="320"/>
      <c r="X20" s="412"/>
      <c r="Y20" s="413"/>
      <c r="Z20" s="463"/>
      <c r="AA20" s="415"/>
      <c r="AB20" s="413"/>
      <c r="AC20" s="416"/>
      <c r="AD20" s="1086"/>
      <c r="AE20" s="321"/>
      <c r="AF20" s="417"/>
      <c r="AG20" s="418"/>
      <c r="AH20" s="464"/>
      <c r="AI20" s="420"/>
      <c r="AJ20" s="418"/>
      <c r="AK20" s="322"/>
      <c r="AL20" s="1087"/>
      <c r="AN20" s="1553"/>
    </row>
    <row r="21" spans="1:40" ht="30" customHeight="1">
      <c r="A21" s="1051"/>
      <c r="B21" s="404" t="s">
        <v>108</v>
      </c>
      <c r="C21" s="405"/>
      <c r="D21" s="406"/>
      <c r="E21" s="407"/>
      <c r="F21" s="406"/>
      <c r="G21" s="408"/>
      <c r="H21" s="408"/>
      <c r="I21" s="409"/>
      <c r="J21" s="405"/>
      <c r="K21" s="406"/>
      <c r="L21" s="409"/>
      <c r="M21" s="408"/>
      <c r="N21" s="408"/>
      <c r="O21" s="409"/>
      <c r="P21" s="297"/>
      <c r="Q21" s="410"/>
      <c r="R21" s="318"/>
      <c r="S21" s="411"/>
      <c r="T21" s="297"/>
      <c r="U21" s="375"/>
      <c r="V21" s="1083"/>
      <c r="W21" s="320"/>
      <c r="X21" s="412"/>
      <c r="Y21" s="413"/>
      <c r="Z21" s="414"/>
      <c r="AA21" s="415"/>
      <c r="AB21" s="413"/>
      <c r="AC21" s="416"/>
      <c r="AD21" s="1086"/>
      <c r="AE21" s="321"/>
      <c r="AF21" s="417"/>
      <c r="AG21" s="418"/>
      <c r="AH21" s="419"/>
      <c r="AI21" s="420"/>
      <c r="AJ21" s="418"/>
      <c r="AK21" s="322"/>
      <c r="AL21" s="1087"/>
      <c r="AN21" s="1553"/>
    </row>
    <row r="22" spans="1:40" ht="30" customHeight="1">
      <c r="A22" s="1051"/>
      <c r="B22" s="421" t="s">
        <v>111</v>
      </c>
      <c r="C22" s="425">
        <v>1</v>
      </c>
      <c r="D22" s="1587">
        <v>162</v>
      </c>
      <c r="E22" s="424">
        <f>SUM(C22:D22)</f>
        <v>163</v>
      </c>
      <c r="F22" s="423"/>
      <c r="G22" s="370">
        <f t="shared" ref="G22:G24" si="1">C22</f>
        <v>1</v>
      </c>
      <c r="H22" s="370">
        <f>SUM(D22,F22)</f>
        <v>162</v>
      </c>
      <c r="I22" s="466">
        <f>SUM(G22:H22)</f>
        <v>163</v>
      </c>
      <c r="J22" s="425">
        <v>1.5</v>
      </c>
      <c r="K22" s="423"/>
      <c r="L22" s="467">
        <f>SUM(J22:K22)</f>
        <v>1.5</v>
      </c>
      <c r="M22" s="427">
        <f>SUM(E22,J22)</f>
        <v>164.5</v>
      </c>
      <c r="N22" s="370">
        <f>SUM(F22,K22)</f>
        <v>0</v>
      </c>
      <c r="O22" s="428">
        <f>SUM(M22:N22)</f>
        <v>164.5</v>
      </c>
      <c r="P22" s="297"/>
      <c r="Q22" s="468">
        <v>4</v>
      </c>
      <c r="R22" s="469"/>
      <c r="S22" s="470">
        <f>SUM(Q22:R22)</f>
        <v>4</v>
      </c>
      <c r="T22" s="297"/>
      <c r="U22" s="471">
        <f>SUM(O22,S22)</f>
        <v>168.5</v>
      </c>
      <c r="V22" s="1083"/>
      <c r="W22" s="320"/>
      <c r="X22" s="431">
        <f>VLOOKUP($AN22,Early_Stats_Last_Year,VLOOKUP(Background!$C$2,Inst_Tables,15,FALSE),FALSE)</f>
        <v>167</v>
      </c>
      <c r="Y22" s="432">
        <f>VLOOKUP($AN22,Early_Stats_Last_Year,VLOOKUP(Background!$C$2,Inst_Tables,16,FALSE),FALSE)</f>
        <v>0</v>
      </c>
      <c r="Z22" s="433">
        <f>SUM(X22:Y22)</f>
        <v>167</v>
      </c>
      <c r="AA22" s="434">
        <f>IF(X22&gt;0,(I22-X22)/X22,"")</f>
        <v>-2.3952095808383235E-2</v>
      </c>
      <c r="AB22" s="435" t="str">
        <f>IF(Y22&gt;0,(L22-Y22)/Y22,"")</f>
        <v/>
      </c>
      <c r="AC22" s="436">
        <f>IF(Z22&gt;0,(O22-Z22)/Z22,"")</f>
        <v>-1.4970059880239521E-2</v>
      </c>
      <c r="AD22" s="1086"/>
      <c r="AE22" s="321"/>
      <c r="AF22" s="437">
        <f>VLOOKUP($AN22,Final_Figures_Last_Year,VLOOKUP(Background!$C$2,Inst_Tables,15,FALSE),FALSE)</f>
        <v>166</v>
      </c>
      <c r="AG22" s="438">
        <f>VLOOKUP($AN22,Final_Figures_Last_Year,VLOOKUP(Background!$C$2,Inst_Tables,16,FALSE),FALSE)</f>
        <v>0.5</v>
      </c>
      <c r="AH22" s="439">
        <f>SUM(AF22:AG22)</f>
        <v>166.5</v>
      </c>
      <c r="AI22" s="440">
        <f>IF(AF22&gt;0,(I22-AF22)/AF22,"")</f>
        <v>-1.8072289156626505E-2</v>
      </c>
      <c r="AJ22" s="441">
        <f>IF(AG22&gt;0,(L22-AG22)/AG22,"")</f>
        <v>2</v>
      </c>
      <c r="AK22" s="442">
        <f>IF(AH22&gt;0,(O22-AH22)/AH22,"")</f>
        <v>-1.2012012012012012E-2</v>
      </c>
      <c r="AL22" s="1087"/>
      <c r="AN22" s="1552">
        <v>4</v>
      </c>
    </row>
    <row r="23" spans="1:40" ht="30" customHeight="1">
      <c r="A23" s="1051"/>
      <c r="B23" s="421" t="s">
        <v>112</v>
      </c>
      <c r="C23" s="425">
        <v>2</v>
      </c>
      <c r="D23" s="1587">
        <v>155</v>
      </c>
      <c r="E23" s="424">
        <f>SUM(C23:D23)</f>
        <v>157</v>
      </c>
      <c r="F23" s="423"/>
      <c r="G23" s="370">
        <f t="shared" si="1"/>
        <v>2</v>
      </c>
      <c r="H23" s="370">
        <f>SUM(D23,F23)</f>
        <v>155</v>
      </c>
      <c r="I23" s="466">
        <f>SUM(G23:H23)</f>
        <v>157</v>
      </c>
      <c r="J23" s="425"/>
      <c r="K23" s="423"/>
      <c r="L23" s="467">
        <f>SUM(J23:K23)</f>
        <v>0</v>
      </c>
      <c r="M23" s="427">
        <f>SUM(E23,J23)</f>
        <v>157</v>
      </c>
      <c r="N23" s="370">
        <f t="shared" ref="N23:N24" si="2">SUM(F23,K23)</f>
        <v>0</v>
      </c>
      <c r="O23" s="428">
        <f>SUM(M23:N23)</f>
        <v>157</v>
      </c>
      <c r="P23" s="297"/>
      <c r="Q23" s="468">
        <v>7</v>
      </c>
      <c r="R23" s="469"/>
      <c r="S23" s="470">
        <f>SUM(Q23:R23)</f>
        <v>7</v>
      </c>
      <c r="T23" s="297"/>
      <c r="U23" s="471">
        <f>SUM(O23,S23)</f>
        <v>164</v>
      </c>
      <c r="V23" s="1083"/>
      <c r="W23" s="320"/>
      <c r="X23" s="431">
        <f>VLOOKUP($AN23,Early_Stats_Last_Year,VLOOKUP(Background!$C$2,Inst_Tables,15,FALSE),FALSE)</f>
        <v>145</v>
      </c>
      <c r="Y23" s="432">
        <f>VLOOKUP($AN23,Early_Stats_Last_Year,VLOOKUP(Background!$C$2,Inst_Tables,16,FALSE),FALSE)</f>
        <v>3</v>
      </c>
      <c r="Z23" s="433">
        <f>SUM(X23:Y23)</f>
        <v>148</v>
      </c>
      <c r="AA23" s="434">
        <f>IF(X23&gt;0,(I23-X23)/X23,"")</f>
        <v>8.2758620689655171E-2</v>
      </c>
      <c r="AB23" s="435">
        <f>IF(Y23&gt;0,(L23-Y23)/Y23,"")</f>
        <v>-1</v>
      </c>
      <c r="AC23" s="436">
        <f>IF(Z23&gt;0,(O23-Z23)/Z23,"")</f>
        <v>6.0810810810810814E-2</v>
      </c>
      <c r="AD23" s="1086"/>
      <c r="AE23" s="321"/>
      <c r="AF23" s="437">
        <f>VLOOKUP($AN23,Final_Figures_Last_Year,VLOOKUP(Background!$C$2,Inst_Tables,15,FALSE),FALSE)</f>
        <v>145</v>
      </c>
      <c r="AG23" s="438">
        <f>VLOOKUP($AN23,Final_Figures_Last_Year,VLOOKUP(Background!$C$2,Inst_Tables,16,FALSE),FALSE)</f>
        <v>3</v>
      </c>
      <c r="AH23" s="439">
        <f>SUM(AF23:AG23)</f>
        <v>148</v>
      </c>
      <c r="AI23" s="440">
        <f>IF(AF23&gt;0,(I23-AF23)/AF23,"")</f>
        <v>8.2758620689655171E-2</v>
      </c>
      <c r="AJ23" s="441">
        <f>IF(AG23&gt;0,(L23-AG23)/AG23,"")</f>
        <v>-1</v>
      </c>
      <c r="AK23" s="442">
        <f>IF(AH23&gt;0,(O23-AH23)/AH23,"")</f>
        <v>6.0810810810810814E-2</v>
      </c>
      <c r="AL23" s="1087"/>
      <c r="AN23" s="1552">
        <v>5</v>
      </c>
    </row>
    <row r="24" spans="1:40" ht="30" customHeight="1">
      <c r="A24" s="1051"/>
      <c r="B24" s="404" t="s">
        <v>110</v>
      </c>
      <c r="C24" s="425">
        <v>1</v>
      </c>
      <c r="D24" s="1587">
        <v>55.5</v>
      </c>
      <c r="E24" s="424">
        <f>SUM(C24:D24)</f>
        <v>56.5</v>
      </c>
      <c r="F24" s="423"/>
      <c r="G24" s="370">
        <f t="shared" si="1"/>
        <v>1</v>
      </c>
      <c r="H24" s="370">
        <f>SUM(D24,F24)</f>
        <v>55.5</v>
      </c>
      <c r="I24" s="466">
        <f>SUM(G24:H24)</f>
        <v>56.5</v>
      </c>
      <c r="J24" s="425">
        <v>252.26833300000018</v>
      </c>
      <c r="K24" s="425">
        <v>55.6</v>
      </c>
      <c r="L24" s="467">
        <f>SUM(J24:K24)</f>
        <v>307.86833300000018</v>
      </c>
      <c r="M24" s="427">
        <f>SUM(E24,J24)</f>
        <v>308.76833300000021</v>
      </c>
      <c r="N24" s="370">
        <f t="shared" si="2"/>
        <v>55.6</v>
      </c>
      <c r="O24" s="428">
        <f>SUM(M24:N24)</f>
        <v>364.36833300000023</v>
      </c>
      <c r="P24" s="297"/>
      <c r="Q24" s="410"/>
      <c r="R24" s="318"/>
      <c r="S24" s="411"/>
      <c r="T24" s="297"/>
      <c r="U24" s="375"/>
      <c r="V24" s="1083"/>
      <c r="W24" s="320"/>
      <c r="X24" s="431">
        <f>VLOOKUP($AN24,Early_Stats_Last_Year,VLOOKUP(Background!$C$2,Inst_Tables,15,FALSE),FALSE)</f>
        <v>43.4</v>
      </c>
      <c r="Y24" s="432">
        <f>VLOOKUP($AN24,Early_Stats_Last_Year,VLOOKUP(Background!$C$2,Inst_Tables,16,FALSE),FALSE)</f>
        <v>216.1</v>
      </c>
      <c r="Z24" s="433">
        <f>SUM(X24:Y24)</f>
        <v>259.5</v>
      </c>
      <c r="AA24" s="434">
        <f>IF(X24&gt;0,(I24-X24)/X24,"")</f>
        <v>0.30184331797235026</v>
      </c>
      <c r="AB24" s="435">
        <f>IF(Y24&gt;0,(L24-Y24)/Y24,"")</f>
        <v>0.42465679315131971</v>
      </c>
      <c r="AC24" s="436">
        <f>IF(Z24&gt;0,(O24-Z24)/Z24,"")</f>
        <v>0.40411689017341129</v>
      </c>
      <c r="AD24" s="1086"/>
      <c r="AE24" s="321"/>
      <c r="AF24" s="437">
        <f>VLOOKUP($AN24,Final_Figures_Last_Year,VLOOKUP(Background!$C$2,Inst_Tables,15,FALSE),FALSE)</f>
        <v>42.665999999999997</v>
      </c>
      <c r="AG24" s="438">
        <f>VLOOKUP($AN24,Final_Figures_Last_Year,VLOOKUP(Background!$C$2,Inst_Tables,16,FALSE),FALSE)</f>
        <v>271.66699699999998</v>
      </c>
      <c r="AH24" s="439">
        <f>SUM(AF24:AG24)</f>
        <v>314.33299699999998</v>
      </c>
      <c r="AI24" s="440">
        <f>IF(AF24&gt;0,(I24-AF24)/AF24,"")</f>
        <v>0.32423944124126947</v>
      </c>
      <c r="AJ24" s="441">
        <f>IF(AG24&gt;0,(L24-AG24)/AG24,"")</f>
        <v>0.13325628950063523</v>
      </c>
      <c r="AK24" s="442">
        <f>IF(AH24&gt;0,(O24-AH24)/AH24,"")</f>
        <v>0.15917939407424114</v>
      </c>
      <c r="AL24" s="1087"/>
      <c r="AN24" s="1552">
        <v>6</v>
      </c>
    </row>
    <row r="25" spans="1:40" ht="35.1" customHeight="1" thickBot="1">
      <c r="A25" s="1051"/>
      <c r="B25" s="443" t="s">
        <v>2</v>
      </c>
      <c r="C25" s="427">
        <f>SUM(C22:C24)</f>
        <v>4</v>
      </c>
      <c r="D25" s="472">
        <f>SUM(D22:D24)</f>
        <v>372.5</v>
      </c>
      <c r="E25" s="448">
        <f>SUM(E22:E24)</f>
        <v>376.5</v>
      </c>
      <c r="F25" s="445">
        <f>SUM(F22:F24)</f>
        <v>0</v>
      </c>
      <c r="G25" s="445">
        <f t="shared" ref="G25:I25" si="3">SUM(G22:G24)</f>
        <v>4</v>
      </c>
      <c r="H25" s="445">
        <f>SUM(H22:H24)</f>
        <v>372.5</v>
      </c>
      <c r="I25" s="473">
        <f t="shared" si="3"/>
        <v>376.5</v>
      </c>
      <c r="J25" s="445">
        <f t="shared" ref="J25:O25" si="4">SUM(J22:J24)</f>
        <v>253.76833300000018</v>
      </c>
      <c r="K25" s="445">
        <f t="shared" si="4"/>
        <v>55.6</v>
      </c>
      <c r="L25" s="448">
        <f t="shared" si="4"/>
        <v>309.36833300000018</v>
      </c>
      <c r="M25" s="474">
        <f t="shared" si="4"/>
        <v>630.26833300000021</v>
      </c>
      <c r="N25" s="445">
        <f t="shared" si="4"/>
        <v>55.6</v>
      </c>
      <c r="O25" s="447">
        <f t="shared" si="4"/>
        <v>685.86833300000023</v>
      </c>
      <c r="P25" s="297"/>
      <c r="Q25" s="410"/>
      <c r="R25" s="318"/>
      <c r="S25" s="411"/>
      <c r="T25" s="297"/>
      <c r="U25" s="375"/>
      <c r="V25" s="1083"/>
      <c r="W25" s="320"/>
      <c r="X25" s="475">
        <f>SUM(X22:X24)</f>
        <v>355.4</v>
      </c>
      <c r="Y25" s="476">
        <f>SUM(Y22:Y24)</f>
        <v>219.1</v>
      </c>
      <c r="Z25" s="454">
        <f>SUM(Z22:Z24)</f>
        <v>574.5</v>
      </c>
      <c r="AA25" s="477">
        <f>IF(X25&gt;0,(I25-X25)/X25,"")</f>
        <v>5.936972425436135E-2</v>
      </c>
      <c r="AB25" s="478">
        <f>IF(Y25&gt;0,(L25-Y25)/Y25,"")</f>
        <v>0.41199604290278496</v>
      </c>
      <c r="AC25" s="479">
        <f>IF(Z25&gt;0,(O25-Z25)/Z25,"")</f>
        <v>0.19385262489121016</v>
      </c>
      <c r="AD25" s="1086"/>
      <c r="AE25" s="321"/>
      <c r="AF25" s="480">
        <f>SUM(AF22:AF24)</f>
        <v>353.666</v>
      </c>
      <c r="AG25" s="481">
        <f>SUM(AG22:AG24)</f>
        <v>275.16699699999998</v>
      </c>
      <c r="AH25" s="459">
        <f>SUM(AH22:AH24)</f>
        <v>628.83299699999998</v>
      </c>
      <c r="AI25" s="482">
        <f>IF(AF25&gt;0,(I25-AF25)/AF25,"")</f>
        <v>6.4563740930708644E-2</v>
      </c>
      <c r="AJ25" s="483">
        <f>IF(AG25&gt;0,(L25-AG25)/AG25,"")</f>
        <v>0.12429301614248528</v>
      </c>
      <c r="AK25" s="484">
        <f>IF(AH25&gt;0,(O25-AH25)/AH25,"")</f>
        <v>9.0700291288944968E-2</v>
      </c>
      <c r="AL25" s="1087"/>
      <c r="AN25" s="1553"/>
    </row>
    <row r="26" spans="1:40" ht="35.1" customHeight="1">
      <c r="A26" s="1051"/>
      <c r="B26" s="485" t="s">
        <v>25</v>
      </c>
      <c r="C26" s="389"/>
      <c r="D26" s="486"/>
      <c r="E26" s="391"/>
      <c r="F26" s="390"/>
      <c r="G26" s="373"/>
      <c r="H26" s="373"/>
      <c r="I26" s="392"/>
      <c r="J26" s="389"/>
      <c r="K26" s="390"/>
      <c r="L26" s="392"/>
      <c r="M26" s="373"/>
      <c r="N26" s="373"/>
      <c r="O26" s="392"/>
      <c r="P26" s="297"/>
      <c r="Q26" s="372"/>
      <c r="R26" s="373"/>
      <c r="S26" s="374"/>
      <c r="T26" s="297"/>
      <c r="U26" s="393"/>
      <c r="V26" s="1083"/>
      <c r="W26" s="320"/>
      <c r="X26" s="394"/>
      <c r="Y26" s="395"/>
      <c r="Z26" s="396"/>
      <c r="AA26" s="397"/>
      <c r="AB26" s="395"/>
      <c r="AC26" s="398"/>
      <c r="AD26" s="1086"/>
      <c r="AE26" s="321"/>
      <c r="AF26" s="399"/>
      <c r="AG26" s="400"/>
      <c r="AH26" s="401"/>
      <c r="AI26" s="402"/>
      <c r="AJ26" s="400"/>
      <c r="AK26" s="403"/>
      <c r="AL26" s="1087"/>
      <c r="AN26" s="1553"/>
    </row>
    <row r="27" spans="1:40" ht="30" customHeight="1">
      <c r="A27" s="1051"/>
      <c r="B27" s="404" t="s">
        <v>108</v>
      </c>
      <c r="C27" s="487"/>
      <c r="D27" s="1088"/>
      <c r="E27" s="488"/>
      <c r="F27" s="430"/>
      <c r="G27" s="318"/>
      <c r="H27" s="318"/>
      <c r="I27" s="319"/>
      <c r="J27" s="487"/>
      <c r="K27" s="430"/>
      <c r="L27" s="319"/>
      <c r="M27" s="318"/>
      <c r="N27" s="318"/>
      <c r="O27" s="319"/>
      <c r="P27" s="297"/>
      <c r="Q27" s="410"/>
      <c r="R27" s="318"/>
      <c r="S27" s="411"/>
      <c r="T27" s="297"/>
      <c r="U27" s="375"/>
      <c r="V27" s="1083"/>
      <c r="W27" s="320"/>
      <c r="X27" s="412"/>
      <c r="Y27" s="413"/>
      <c r="Z27" s="463"/>
      <c r="AA27" s="415"/>
      <c r="AB27" s="413"/>
      <c r="AC27" s="416"/>
      <c r="AD27" s="1086"/>
      <c r="AE27" s="321"/>
      <c r="AF27" s="417"/>
      <c r="AG27" s="418"/>
      <c r="AH27" s="464"/>
      <c r="AI27" s="420"/>
      <c r="AJ27" s="418"/>
      <c r="AK27" s="322"/>
      <c r="AL27" s="1087"/>
      <c r="AN27" s="1553"/>
    </row>
    <row r="28" spans="1:40" ht="30" customHeight="1">
      <c r="A28" s="1051"/>
      <c r="B28" s="489" t="s">
        <v>114</v>
      </c>
      <c r="C28" s="405"/>
      <c r="D28" s="490"/>
      <c r="E28" s="407"/>
      <c r="F28" s="406"/>
      <c r="G28" s="408"/>
      <c r="H28" s="408"/>
      <c r="I28" s="409"/>
      <c r="J28" s="405"/>
      <c r="K28" s="406"/>
      <c r="L28" s="409"/>
      <c r="M28" s="408"/>
      <c r="N28" s="408"/>
      <c r="O28" s="409"/>
      <c r="P28" s="297"/>
      <c r="Q28" s="491"/>
      <c r="R28" s="406"/>
      <c r="S28" s="492"/>
      <c r="T28" s="297"/>
      <c r="U28" s="493"/>
      <c r="V28" s="1083"/>
      <c r="W28" s="320"/>
      <c r="X28" s="412"/>
      <c r="Y28" s="413"/>
      <c r="Z28" s="414"/>
      <c r="AA28" s="415"/>
      <c r="AB28" s="413"/>
      <c r="AC28" s="416"/>
      <c r="AD28" s="1086"/>
      <c r="AE28" s="321"/>
      <c r="AF28" s="417"/>
      <c r="AG28" s="418"/>
      <c r="AH28" s="419"/>
      <c r="AI28" s="420"/>
      <c r="AJ28" s="418"/>
      <c r="AK28" s="322"/>
      <c r="AL28" s="1087"/>
      <c r="AN28" s="1553"/>
    </row>
    <row r="29" spans="1:40" ht="30" customHeight="1">
      <c r="A29" s="1051"/>
      <c r="B29" s="494" t="s">
        <v>49</v>
      </c>
      <c r="C29" s="425">
        <v>151</v>
      </c>
      <c r="D29" s="1587">
        <v>509</v>
      </c>
      <c r="E29" s="424">
        <f>SUM(C29:D29)</f>
        <v>660</v>
      </c>
      <c r="F29" s="423"/>
      <c r="G29" s="370">
        <f>C29</f>
        <v>151</v>
      </c>
      <c r="H29" s="370">
        <f>SUM(D29,F29)</f>
        <v>509</v>
      </c>
      <c r="I29" s="466">
        <f>SUM(G29:H29)</f>
        <v>660</v>
      </c>
      <c r="J29" s="425"/>
      <c r="K29" s="423"/>
      <c r="L29" s="467">
        <f>SUM(J29:K29)</f>
        <v>0</v>
      </c>
      <c r="M29" s="427">
        <f>SUM(E29,J29)</f>
        <v>660</v>
      </c>
      <c r="N29" s="370">
        <f>SUM(F29,K29)</f>
        <v>0</v>
      </c>
      <c r="O29" s="428">
        <f>SUM(M29:N29)</f>
        <v>660</v>
      </c>
      <c r="P29" s="297"/>
      <c r="Q29" s="495">
        <v>60</v>
      </c>
      <c r="R29" s="423"/>
      <c r="S29" s="470">
        <f>SUM(Q29:R29)</f>
        <v>60</v>
      </c>
      <c r="T29" s="297"/>
      <c r="U29" s="471">
        <f>SUM(O29,S29)</f>
        <v>720</v>
      </c>
      <c r="V29" s="1083"/>
      <c r="W29" s="320"/>
      <c r="X29" s="431">
        <f>VLOOKUP($AN29,Early_Stats_Last_Year,VLOOKUP(Background!$C$2,Inst_Tables,15,FALSE),FALSE)</f>
        <v>753</v>
      </c>
      <c r="Y29" s="432">
        <f>VLOOKUP($AN29,Early_Stats_Last_Year,VLOOKUP(Background!$C$2,Inst_Tables,16,FALSE),FALSE)</f>
        <v>0</v>
      </c>
      <c r="Z29" s="433">
        <f>SUM(X29:Y29)</f>
        <v>753</v>
      </c>
      <c r="AA29" s="434">
        <f>IF(X29&gt;0,(I29-X29)/X29,"")</f>
        <v>-0.12350597609561753</v>
      </c>
      <c r="AB29" s="435" t="str">
        <f>IF(Y29&gt;0,(L29-Y29)/Y29,"")</f>
        <v/>
      </c>
      <c r="AC29" s="436">
        <f>IF(Z29&gt;0,(O29-Z29)/Z29,"")</f>
        <v>-0.12350597609561753</v>
      </c>
      <c r="AD29" s="1086"/>
      <c r="AE29" s="321"/>
      <c r="AF29" s="437">
        <f>VLOOKUP($AN29,Final_Figures_Last_Year,VLOOKUP(Background!$C$2,Inst_Tables,15,FALSE),FALSE)</f>
        <v>748</v>
      </c>
      <c r="AG29" s="438">
        <f>VLOOKUP($AN29,Final_Figures_Last_Year,VLOOKUP(Background!$C$2,Inst_Tables,16,FALSE),FALSE)</f>
        <v>0</v>
      </c>
      <c r="AH29" s="439">
        <f>SUM(AF29:AG29)</f>
        <v>748</v>
      </c>
      <c r="AI29" s="440">
        <f>IF(AF29&gt;0,(I29-AF29)/AF29,"")</f>
        <v>-0.11764705882352941</v>
      </c>
      <c r="AJ29" s="441" t="str">
        <f>IF(AG29&gt;0,(L29-AG29)/AG29,"")</f>
        <v/>
      </c>
      <c r="AK29" s="442">
        <f>IF(AH29&gt;0,(O29-AH29)/AH29,"")</f>
        <v>-0.11764705882352941</v>
      </c>
      <c r="AL29" s="1087"/>
      <c r="AN29" s="1552">
        <v>7</v>
      </c>
    </row>
    <row r="30" spans="1:40" ht="30" customHeight="1">
      <c r="A30" s="1051"/>
      <c r="B30" s="494" t="s">
        <v>50</v>
      </c>
      <c r="C30" s="425">
        <v>38</v>
      </c>
      <c r="D30" s="1587">
        <v>266</v>
      </c>
      <c r="E30" s="424">
        <f>SUM(C30:D30)</f>
        <v>304</v>
      </c>
      <c r="F30" s="423"/>
      <c r="G30" s="370">
        <f t="shared" ref="G30:G31" si="5">C30</f>
        <v>38</v>
      </c>
      <c r="H30" s="370">
        <f>SUM(D30,F30)</f>
        <v>266</v>
      </c>
      <c r="I30" s="466">
        <f>SUM(G30:H30)</f>
        <v>304</v>
      </c>
      <c r="J30" s="425"/>
      <c r="K30" s="423"/>
      <c r="L30" s="467">
        <f>SUM(J30:K30)</f>
        <v>0</v>
      </c>
      <c r="M30" s="427">
        <f>SUM(E30,J30)</f>
        <v>304</v>
      </c>
      <c r="N30" s="370">
        <f t="shared" ref="N30:N32" si="6">SUM(F30,K30)</f>
        <v>0</v>
      </c>
      <c r="O30" s="428">
        <f>SUM(M30:N30)</f>
        <v>304</v>
      </c>
      <c r="P30" s="297"/>
      <c r="Q30" s="495">
        <v>26</v>
      </c>
      <c r="R30" s="423"/>
      <c r="S30" s="470">
        <f>SUM(Q30:R30)</f>
        <v>26</v>
      </c>
      <c r="T30" s="297"/>
      <c r="U30" s="471">
        <f>SUM(O30,S30)</f>
        <v>330</v>
      </c>
      <c r="V30" s="1083"/>
      <c r="W30" s="320"/>
      <c r="X30" s="431">
        <f>VLOOKUP($AN30,Early_Stats_Last_Year,VLOOKUP(Background!$C$2,Inst_Tables,15,FALSE),FALSE)</f>
        <v>330</v>
      </c>
      <c r="Y30" s="432">
        <f>VLOOKUP($AN30,Early_Stats_Last_Year,VLOOKUP(Background!$C$2,Inst_Tables,16,FALSE),FALSE)</f>
        <v>0</v>
      </c>
      <c r="Z30" s="433">
        <f>SUM(X30:Y30)</f>
        <v>330</v>
      </c>
      <c r="AA30" s="434">
        <f>IF(X30&gt;0,(I30-X30)/X30,"")</f>
        <v>-7.8787878787878782E-2</v>
      </c>
      <c r="AB30" s="435" t="str">
        <f>IF(Y30&gt;0,(L30-Y30)/Y30,"")</f>
        <v/>
      </c>
      <c r="AC30" s="436">
        <f>IF(Z30&gt;0,(O30-Z30)/Z30,"")</f>
        <v>-7.8787878787878782E-2</v>
      </c>
      <c r="AD30" s="1086"/>
      <c r="AE30" s="321"/>
      <c r="AF30" s="437">
        <f>VLOOKUP($AN30,Final_Figures_Last_Year,VLOOKUP(Background!$C$2,Inst_Tables,15,FALSE),FALSE)</f>
        <v>330</v>
      </c>
      <c r="AG30" s="438">
        <f>VLOOKUP($AN30,Final_Figures_Last_Year,VLOOKUP(Background!$C$2,Inst_Tables,16,FALSE),FALSE)</f>
        <v>0</v>
      </c>
      <c r="AH30" s="439">
        <f>SUM(AF30:AG30)</f>
        <v>330</v>
      </c>
      <c r="AI30" s="440">
        <f>IF(AF30&gt;0,(I30-AF30)/AF30,"")</f>
        <v>-7.8787878787878782E-2</v>
      </c>
      <c r="AJ30" s="441" t="str">
        <f>IF(AG30&gt;0,(L30-AG30)/AG30,"")</f>
        <v/>
      </c>
      <c r="AK30" s="442">
        <f>IF(AH30&gt;0,(O30-AH30)/AH30,"")</f>
        <v>-7.8787878787878782E-2</v>
      </c>
      <c r="AL30" s="1087"/>
      <c r="AN30" s="1552">
        <v>8</v>
      </c>
    </row>
    <row r="31" spans="1:40" ht="30" customHeight="1">
      <c r="A31" s="1051"/>
      <c r="B31" s="494" t="s">
        <v>19</v>
      </c>
      <c r="C31" s="425">
        <v>5</v>
      </c>
      <c r="D31" s="1587">
        <v>312</v>
      </c>
      <c r="E31" s="424">
        <f>SUM(C31:D31)</f>
        <v>317</v>
      </c>
      <c r="F31" s="423"/>
      <c r="G31" s="370">
        <f t="shared" si="5"/>
        <v>5</v>
      </c>
      <c r="H31" s="370">
        <f>SUM(D31,F31)</f>
        <v>312</v>
      </c>
      <c r="I31" s="466">
        <f>SUM(G31:H31)</f>
        <v>317</v>
      </c>
      <c r="J31" s="425"/>
      <c r="K31" s="423"/>
      <c r="L31" s="467">
        <f>SUM(J31:K31)</f>
        <v>0</v>
      </c>
      <c r="M31" s="427">
        <f>SUM(E31,J31)</f>
        <v>317</v>
      </c>
      <c r="N31" s="370">
        <f t="shared" si="6"/>
        <v>0</v>
      </c>
      <c r="O31" s="428">
        <f>SUM(M31:N31)</f>
        <v>317</v>
      </c>
      <c r="P31" s="297"/>
      <c r="Q31" s="495">
        <v>118</v>
      </c>
      <c r="R31" s="423"/>
      <c r="S31" s="470">
        <f>SUM(Q31:R31)</f>
        <v>118</v>
      </c>
      <c r="T31" s="297"/>
      <c r="U31" s="471">
        <f>SUM(O31,S31)</f>
        <v>435</v>
      </c>
      <c r="V31" s="1083"/>
      <c r="W31" s="320"/>
      <c r="X31" s="431">
        <f>VLOOKUP($AN31,Early_Stats_Last_Year,VLOOKUP(Background!$C$2,Inst_Tables,15,FALSE),FALSE)</f>
        <v>323</v>
      </c>
      <c r="Y31" s="432">
        <f>VLOOKUP($AN31,Early_Stats_Last_Year,VLOOKUP(Background!$C$2,Inst_Tables,16,FALSE),FALSE)</f>
        <v>0</v>
      </c>
      <c r="Z31" s="433">
        <f>SUM(X31:Y31)</f>
        <v>323</v>
      </c>
      <c r="AA31" s="434">
        <f>IF(X31&gt;0,(I31-X31)/X31,"")</f>
        <v>-1.8575851393188854E-2</v>
      </c>
      <c r="AB31" s="435" t="str">
        <f>IF(Y31&gt;0,(L31-Y31)/Y31,"")</f>
        <v/>
      </c>
      <c r="AC31" s="436">
        <f>IF(Z31&gt;0,(O31-Z31)/Z31,"")</f>
        <v>-1.8575851393188854E-2</v>
      </c>
      <c r="AD31" s="1086"/>
      <c r="AE31" s="321"/>
      <c r="AF31" s="437">
        <f>VLOOKUP($AN31,Final_Figures_Last_Year,VLOOKUP(Background!$C$2,Inst_Tables,15,FALSE),FALSE)</f>
        <v>323</v>
      </c>
      <c r="AG31" s="438">
        <f>VLOOKUP($AN31,Final_Figures_Last_Year,VLOOKUP(Background!$C$2,Inst_Tables,16,FALSE),FALSE)</f>
        <v>0</v>
      </c>
      <c r="AH31" s="439">
        <f>SUM(AF31:AG31)</f>
        <v>323</v>
      </c>
      <c r="AI31" s="440">
        <f>IF(AF31&gt;0,(I31-AF31)/AF31,"")</f>
        <v>-1.8575851393188854E-2</v>
      </c>
      <c r="AJ31" s="441" t="str">
        <f>IF(AG31&gt;0,(L31-AG31)/AG31,"")</f>
        <v/>
      </c>
      <c r="AK31" s="442">
        <f>IF(AH31&gt;0,(O31-AH31)/AH31,"")</f>
        <v>-1.8575851393188854E-2</v>
      </c>
      <c r="AL31" s="1087"/>
      <c r="AN31" s="1552">
        <v>9</v>
      </c>
    </row>
    <row r="32" spans="1:40" ht="30" customHeight="1">
      <c r="A32" s="1051"/>
      <c r="B32" s="494" t="s">
        <v>20</v>
      </c>
      <c r="C32" s="496"/>
      <c r="D32" s="423">
        <v>53</v>
      </c>
      <c r="E32" s="424">
        <f>D32</f>
        <v>53</v>
      </c>
      <c r="F32" s="423"/>
      <c r="G32" s="370"/>
      <c r="H32" s="370">
        <f>SUM(E32,F32)</f>
        <v>53</v>
      </c>
      <c r="I32" s="466">
        <f>H32</f>
        <v>53</v>
      </c>
      <c r="J32" s="425"/>
      <c r="K32" s="423"/>
      <c r="L32" s="467">
        <f>SUM(J32:K32)</f>
        <v>0</v>
      </c>
      <c r="M32" s="427">
        <f>SUM(E32,J32)</f>
        <v>53</v>
      </c>
      <c r="N32" s="370">
        <f t="shared" si="6"/>
        <v>0</v>
      </c>
      <c r="O32" s="428">
        <f>SUM(M32:N32)</f>
        <v>53</v>
      </c>
      <c r="P32" s="297"/>
      <c r="Q32" s="495">
        <v>13</v>
      </c>
      <c r="R32" s="423"/>
      <c r="S32" s="470">
        <f>SUM(Q32:R32)</f>
        <v>13</v>
      </c>
      <c r="T32" s="297"/>
      <c r="U32" s="471">
        <f>SUM(O32,S32)</f>
        <v>66</v>
      </c>
      <c r="V32" s="1083"/>
      <c r="W32" s="320"/>
      <c r="X32" s="431">
        <f>VLOOKUP($AN32,Early_Stats_Last_Year,VLOOKUP(Background!$C$2,Inst_Tables,15,FALSE),FALSE)</f>
        <v>65</v>
      </c>
      <c r="Y32" s="432">
        <f>VLOOKUP($AN32,Early_Stats_Last_Year,VLOOKUP(Background!$C$2,Inst_Tables,16,FALSE),FALSE)</f>
        <v>0</v>
      </c>
      <c r="Z32" s="433">
        <f>SUM(X32:Y32)</f>
        <v>65</v>
      </c>
      <c r="AA32" s="434">
        <f>IF(X32&gt;0,(I32-X32)/X32,"")</f>
        <v>-0.18461538461538463</v>
      </c>
      <c r="AB32" s="435" t="str">
        <f>IF(Y32&gt;0,(L32-Y32)/Y32,"")</f>
        <v/>
      </c>
      <c r="AC32" s="436">
        <f>IF(Z32&gt;0,(O32-Z32)/Z32,"")</f>
        <v>-0.18461538461538463</v>
      </c>
      <c r="AD32" s="1086"/>
      <c r="AE32" s="321"/>
      <c r="AF32" s="437">
        <f>VLOOKUP($AN32,Final_Figures_Last_Year,VLOOKUP(Background!$C$2,Inst_Tables,15,FALSE),FALSE)</f>
        <v>65</v>
      </c>
      <c r="AG32" s="438">
        <f>VLOOKUP($AN32,Final_Figures_Last_Year,VLOOKUP(Background!$C$2,Inst_Tables,16,FALSE),FALSE)</f>
        <v>0</v>
      </c>
      <c r="AH32" s="439">
        <f>SUM(AF32:AG32)</f>
        <v>65</v>
      </c>
      <c r="AI32" s="440">
        <f>IF(AF32&gt;0,(I32-AF32)/AF32,"")</f>
        <v>-0.18461538461538463</v>
      </c>
      <c r="AJ32" s="441" t="str">
        <f>IF(AG32&gt;0,(L32-AG32)/AG32,"")</f>
        <v/>
      </c>
      <c r="AK32" s="442">
        <f>IF(AH32&gt;0,(O32-AH32)/AH32,"")</f>
        <v>-0.18461538461538463</v>
      </c>
      <c r="AL32" s="1087"/>
      <c r="AN32" s="1552">
        <v>10</v>
      </c>
    </row>
    <row r="33" spans="1:40" ht="30" customHeight="1">
      <c r="A33" s="1051"/>
      <c r="B33" s="489" t="s">
        <v>21</v>
      </c>
      <c r="C33" s="497"/>
      <c r="D33" s="498"/>
      <c r="E33" s="499"/>
      <c r="F33" s="500"/>
      <c r="G33" s="501"/>
      <c r="H33" s="501"/>
      <c r="I33" s="502"/>
      <c r="J33" s="498"/>
      <c r="K33" s="500"/>
      <c r="L33" s="502"/>
      <c r="M33" s="501"/>
      <c r="N33" s="501"/>
      <c r="O33" s="502"/>
      <c r="P33" s="297"/>
      <c r="Q33" s="503"/>
      <c r="R33" s="500"/>
      <c r="S33" s="504"/>
      <c r="T33" s="297"/>
      <c r="U33" s="375"/>
      <c r="V33" s="1083"/>
      <c r="W33" s="320"/>
      <c r="X33" s="505"/>
      <c r="Y33" s="506"/>
      <c r="Z33" s="507"/>
      <c r="AA33" s="415"/>
      <c r="AB33" s="413"/>
      <c r="AC33" s="416"/>
      <c r="AD33" s="1086"/>
      <c r="AE33" s="321"/>
      <c r="AF33" s="508"/>
      <c r="AG33" s="509"/>
      <c r="AH33" s="510"/>
      <c r="AI33" s="420"/>
      <c r="AJ33" s="418"/>
      <c r="AK33" s="322"/>
      <c r="AL33" s="1087"/>
      <c r="AN33" s="1553"/>
    </row>
    <row r="34" spans="1:40" ht="30" customHeight="1">
      <c r="A34" s="1051"/>
      <c r="B34" s="494" t="s">
        <v>118</v>
      </c>
      <c r="C34" s="425">
        <v>4</v>
      </c>
      <c r="D34" s="425">
        <v>560</v>
      </c>
      <c r="E34" s="424">
        <f>SUM(C34:D34)</f>
        <v>564</v>
      </c>
      <c r="F34" s="423"/>
      <c r="G34" s="370">
        <f t="shared" ref="G34:G37" si="7">C34</f>
        <v>4</v>
      </c>
      <c r="H34" s="370">
        <f>SUM(D34,F34)</f>
        <v>560</v>
      </c>
      <c r="I34" s="466">
        <f>SUM(G34:H34)</f>
        <v>564</v>
      </c>
      <c r="J34" s="425">
        <v>5.6</v>
      </c>
      <c r="K34" s="423"/>
      <c r="L34" s="467">
        <f t="shared" ref="L34:L39" si="8">SUM(J34:K34)</f>
        <v>5.6</v>
      </c>
      <c r="M34" s="427">
        <f>SUM(E34,J34)</f>
        <v>569.6</v>
      </c>
      <c r="N34" s="370">
        <f>SUM(F34,K34)</f>
        <v>0</v>
      </c>
      <c r="O34" s="428">
        <f>SUM(M34:N34)</f>
        <v>569.6</v>
      </c>
      <c r="P34" s="297"/>
      <c r="Q34" s="495">
        <v>6</v>
      </c>
      <c r="R34" s="423"/>
      <c r="S34" s="470">
        <f>SUM(Q34:R34)</f>
        <v>6</v>
      </c>
      <c r="T34" s="297"/>
      <c r="U34" s="471">
        <f>SUM(O34,S34)</f>
        <v>575.6</v>
      </c>
      <c r="V34" s="1083"/>
      <c r="W34" s="320"/>
      <c r="X34" s="431">
        <f>VLOOKUP($AN34,Early_Stats_Last_Year,VLOOKUP(Background!$C$2,Inst_Tables,15,FALSE),FALSE)</f>
        <v>584</v>
      </c>
      <c r="Y34" s="432">
        <f>VLOOKUP($AN34,Early_Stats_Last_Year,VLOOKUP(Background!$C$2,Inst_Tables,16,FALSE),FALSE)</f>
        <v>6.4</v>
      </c>
      <c r="Z34" s="433">
        <f>SUM(X34:Y34)</f>
        <v>590.4</v>
      </c>
      <c r="AA34" s="434">
        <f>IF(X34&gt;0,(I34-X34)/X34,"")</f>
        <v>-3.4246575342465752E-2</v>
      </c>
      <c r="AB34" s="435">
        <f>IF(Y34&gt;0,(L34-Y34)/Y34,"")</f>
        <v>-0.12500000000000011</v>
      </c>
      <c r="AC34" s="436">
        <f>IF(Z34&gt;0,(O34-Z34)/Z34,"")</f>
        <v>-3.5230352303522956E-2</v>
      </c>
      <c r="AD34" s="1086"/>
      <c r="AE34" s="321"/>
      <c r="AF34" s="437">
        <f>VLOOKUP($AN34,Final_Figures_Last_Year,VLOOKUP(Background!$C$2,Inst_Tables,15,FALSE),FALSE)</f>
        <v>585.08399999999995</v>
      </c>
      <c r="AG34" s="438">
        <f>VLOOKUP($AN34,Final_Figures_Last_Year,VLOOKUP(Background!$C$2,Inst_Tables,16,FALSE),FALSE)</f>
        <v>14.05</v>
      </c>
      <c r="AH34" s="439">
        <f>SUM(AF34:AG34)</f>
        <v>599.1339999999999</v>
      </c>
      <c r="AI34" s="440">
        <f>IF(AF34&gt;0,(I34-AF34)/AF34,"")</f>
        <v>-3.6035851262382748E-2</v>
      </c>
      <c r="AJ34" s="441">
        <f>IF(AG34&gt;0,(L34-AG34)/AG34,"")</f>
        <v>-0.60142348754448405</v>
      </c>
      <c r="AK34" s="442">
        <f>IF(AH34&gt;0,(O34-AH34)/AH34,"")</f>
        <v>-4.9294481701922917E-2</v>
      </c>
      <c r="AL34" s="1087"/>
      <c r="AN34" s="1552">
        <v>11</v>
      </c>
    </row>
    <row r="35" spans="1:40" ht="30" customHeight="1">
      <c r="A35" s="1051"/>
      <c r="B35" s="494" t="s">
        <v>35</v>
      </c>
      <c r="C35" s="425"/>
      <c r="D35" s="1587"/>
      <c r="E35" s="424">
        <f>SUM(C35:D35)</f>
        <v>0</v>
      </c>
      <c r="F35" s="423"/>
      <c r="G35" s="370">
        <f t="shared" si="7"/>
        <v>0</v>
      </c>
      <c r="H35" s="370">
        <f>SUM(D35,F35)</f>
        <v>0</v>
      </c>
      <c r="I35" s="466">
        <f>SUM(G35:H35)</f>
        <v>0</v>
      </c>
      <c r="J35" s="425"/>
      <c r="K35" s="423"/>
      <c r="L35" s="467">
        <f t="shared" si="8"/>
        <v>0</v>
      </c>
      <c r="M35" s="427">
        <f>SUM(E35,J35)</f>
        <v>0</v>
      </c>
      <c r="N35" s="370">
        <f t="shared" ref="N35:N37" si="9">SUM(F35,K35)</f>
        <v>0</v>
      </c>
      <c r="O35" s="428">
        <f>SUM(M35:N35)</f>
        <v>0</v>
      </c>
      <c r="P35" s="297"/>
      <c r="Q35" s="495"/>
      <c r="R35" s="423"/>
      <c r="S35" s="470">
        <f>SUM(Q35:R35)</f>
        <v>0</v>
      </c>
      <c r="T35" s="297"/>
      <c r="U35" s="471">
        <f>SUM(O35,S35)</f>
        <v>0</v>
      </c>
      <c r="V35" s="1083"/>
      <c r="W35" s="320"/>
      <c r="X35" s="431">
        <f>VLOOKUP($AN35,Early_Stats_Last_Year,VLOOKUP(Background!$C$2,Inst_Tables,15,FALSE),FALSE)</f>
        <v>0</v>
      </c>
      <c r="Y35" s="432">
        <f>VLOOKUP($AN35,Early_Stats_Last_Year,VLOOKUP(Background!$C$2,Inst_Tables,16,FALSE),FALSE)</f>
        <v>0</v>
      </c>
      <c r="Z35" s="433">
        <f>SUM(X35:Y35)</f>
        <v>0</v>
      </c>
      <c r="AA35" s="434" t="str">
        <f>IF(X35&gt;0,(I35-X35)/X35,"")</f>
        <v/>
      </c>
      <c r="AB35" s="435" t="str">
        <f>IF(Y35&gt;0,(L35-Y35)/Y35,"")</f>
        <v/>
      </c>
      <c r="AC35" s="436" t="str">
        <f>IF(Z35&gt;0,(O35-Z35)/Z35,"")</f>
        <v/>
      </c>
      <c r="AD35" s="1086"/>
      <c r="AE35" s="321"/>
      <c r="AF35" s="437">
        <f>VLOOKUP($AN35,Final_Figures_Last_Year,VLOOKUP(Background!$C$2,Inst_Tables,15,FALSE),FALSE)</f>
        <v>0</v>
      </c>
      <c r="AG35" s="438">
        <f>VLOOKUP($AN35,Final_Figures_Last_Year,VLOOKUP(Background!$C$2,Inst_Tables,16,FALSE),FALSE)</f>
        <v>0</v>
      </c>
      <c r="AH35" s="439">
        <f>SUM(AF35:AG35)</f>
        <v>0</v>
      </c>
      <c r="AI35" s="440" t="str">
        <f>IF(AF35&gt;0,(I35-AF35)/AF35,"")</f>
        <v/>
      </c>
      <c r="AJ35" s="441" t="str">
        <f>IF(AG35&gt;0,(L35-AG35)/AG35,"")</f>
        <v/>
      </c>
      <c r="AK35" s="442" t="str">
        <f>IF(AH35&gt;0,(O35-AH35)/AH35,"")</f>
        <v/>
      </c>
      <c r="AL35" s="1087"/>
      <c r="AN35" s="1552">
        <v>12</v>
      </c>
    </row>
    <row r="36" spans="1:40" ht="30" customHeight="1">
      <c r="A36" s="1051"/>
      <c r="B36" s="494" t="s">
        <v>36</v>
      </c>
      <c r="C36" s="425"/>
      <c r="D36" s="1587"/>
      <c r="E36" s="424">
        <f>SUM(C36:D36)</f>
        <v>0</v>
      </c>
      <c r="F36" s="423"/>
      <c r="G36" s="370">
        <f t="shared" si="7"/>
        <v>0</v>
      </c>
      <c r="H36" s="370">
        <f>SUM(D36,F36)</f>
        <v>0</v>
      </c>
      <c r="I36" s="466">
        <f>SUM(G36:H36)</f>
        <v>0</v>
      </c>
      <c r="J36" s="425"/>
      <c r="K36" s="423"/>
      <c r="L36" s="467">
        <f t="shared" si="8"/>
        <v>0</v>
      </c>
      <c r="M36" s="427">
        <f>SUM(E36,J36)</f>
        <v>0</v>
      </c>
      <c r="N36" s="370">
        <f t="shared" si="9"/>
        <v>0</v>
      </c>
      <c r="O36" s="428">
        <f>SUM(M36:N36)</f>
        <v>0</v>
      </c>
      <c r="P36" s="297"/>
      <c r="Q36" s="495"/>
      <c r="R36" s="423"/>
      <c r="S36" s="470">
        <f>SUM(Q36:R36)</f>
        <v>0</v>
      </c>
      <c r="T36" s="297"/>
      <c r="U36" s="471">
        <f>SUM(O36,S36)</f>
        <v>0</v>
      </c>
      <c r="V36" s="1083"/>
      <c r="W36" s="320"/>
      <c r="X36" s="431">
        <f>VLOOKUP($AN36,Early_Stats_Last_Year,VLOOKUP(Background!$C$2,Inst_Tables,15,FALSE),FALSE)</f>
        <v>0</v>
      </c>
      <c r="Y36" s="432">
        <f>VLOOKUP($AN36,Early_Stats_Last_Year,VLOOKUP(Background!$C$2,Inst_Tables,16,FALSE),FALSE)</f>
        <v>0</v>
      </c>
      <c r="Z36" s="433">
        <f>SUM(X36:Y36)</f>
        <v>0</v>
      </c>
      <c r="AA36" s="434" t="str">
        <f>IF(X36&gt;0,(I36-X36)/X36,"")</f>
        <v/>
      </c>
      <c r="AB36" s="435" t="str">
        <f>IF(Y36&gt;0,(L36-Y36)/Y36,"")</f>
        <v/>
      </c>
      <c r="AC36" s="436" t="str">
        <f>IF(Z36&gt;0,(O36-Z36)/Z36,"")</f>
        <v/>
      </c>
      <c r="AD36" s="1086"/>
      <c r="AE36" s="321"/>
      <c r="AF36" s="437">
        <f>VLOOKUP($AN36,Final_Figures_Last_Year,VLOOKUP(Background!$C$2,Inst_Tables,15,FALSE),FALSE)</f>
        <v>0</v>
      </c>
      <c r="AG36" s="438">
        <f>VLOOKUP($AN36,Final_Figures_Last_Year,VLOOKUP(Background!$C$2,Inst_Tables,16,FALSE),FALSE)</f>
        <v>0</v>
      </c>
      <c r="AH36" s="439">
        <f>SUM(AF36:AG36)</f>
        <v>0</v>
      </c>
      <c r="AI36" s="440" t="str">
        <f>IF(AF36&gt;0,(I36-AF36)/AF36,"")</f>
        <v/>
      </c>
      <c r="AJ36" s="441" t="str">
        <f>IF(AG36&gt;0,(L36-AG36)/AG36,"")</f>
        <v/>
      </c>
      <c r="AK36" s="442" t="str">
        <f>IF(AH36&gt;0,(O36-AH36)/AH36,"")</f>
        <v/>
      </c>
      <c r="AL36" s="1087"/>
      <c r="AN36" s="1552">
        <v>13</v>
      </c>
    </row>
    <row r="37" spans="1:40" ht="30" customHeight="1">
      <c r="A37" s="1051"/>
      <c r="B37" s="494" t="s">
        <v>37</v>
      </c>
      <c r="C37" s="425">
        <v>1</v>
      </c>
      <c r="D37" s="1587">
        <v>94</v>
      </c>
      <c r="E37" s="424">
        <f>SUM(C37:D37)</f>
        <v>95</v>
      </c>
      <c r="F37" s="423"/>
      <c r="G37" s="370">
        <f t="shared" si="7"/>
        <v>1</v>
      </c>
      <c r="H37" s="370">
        <f>SUM(D37,F37)</f>
        <v>94</v>
      </c>
      <c r="I37" s="466">
        <f>SUM(G37:H37)</f>
        <v>95</v>
      </c>
      <c r="J37" s="425">
        <v>1.6</v>
      </c>
      <c r="K37" s="423"/>
      <c r="L37" s="467">
        <f t="shared" si="8"/>
        <v>1.6</v>
      </c>
      <c r="M37" s="427">
        <f>SUM(E37,J37)</f>
        <v>96.6</v>
      </c>
      <c r="N37" s="370">
        <f t="shared" si="9"/>
        <v>0</v>
      </c>
      <c r="O37" s="428">
        <f>SUM(M37:N37)</f>
        <v>96.6</v>
      </c>
      <c r="P37" s="297"/>
      <c r="Q37" s="495"/>
      <c r="R37" s="423"/>
      <c r="S37" s="470">
        <f>SUM(Q37:R37)</f>
        <v>0</v>
      </c>
      <c r="T37" s="297"/>
      <c r="U37" s="471">
        <f>SUM(O37,S37)</f>
        <v>96.6</v>
      </c>
      <c r="V37" s="1083"/>
      <c r="W37" s="320"/>
      <c r="X37" s="431">
        <f>VLOOKUP($AN37,Early_Stats_Last_Year,VLOOKUP(Background!$C$2,Inst_Tables,15,FALSE),FALSE)</f>
        <v>107</v>
      </c>
      <c r="Y37" s="432">
        <f>VLOOKUP($AN37,Early_Stats_Last_Year,VLOOKUP(Background!$C$2,Inst_Tables,16,FALSE),FALSE)</f>
        <v>1.6</v>
      </c>
      <c r="Z37" s="433">
        <f>SUM(X37:Y37)</f>
        <v>108.6</v>
      </c>
      <c r="AA37" s="434">
        <f>IF(X37&gt;0,(I37-X37)/X37,"")</f>
        <v>-0.11214953271028037</v>
      </c>
      <c r="AB37" s="435">
        <f>IF(Y37&gt;0,(L37-Y37)/Y37,"")</f>
        <v>0</v>
      </c>
      <c r="AC37" s="436">
        <f>IF(Z37&gt;0,(O37-Z37)/Z37,"")</f>
        <v>-0.11049723756906078</v>
      </c>
      <c r="AD37" s="1086"/>
      <c r="AE37" s="321"/>
      <c r="AF37" s="437">
        <f>VLOOKUP($AN37,Final_Figures_Last_Year,VLOOKUP(Background!$C$2,Inst_Tables,15,FALSE),FALSE)</f>
        <v>107</v>
      </c>
      <c r="AG37" s="438">
        <f>VLOOKUP($AN37,Final_Figures_Last_Year,VLOOKUP(Background!$C$2,Inst_Tables,16,FALSE),FALSE)</f>
        <v>1.6</v>
      </c>
      <c r="AH37" s="439">
        <f>SUM(AF37:AG37)</f>
        <v>108.6</v>
      </c>
      <c r="AI37" s="440">
        <f>IF(AF37&gt;0,(I37-AF37)/AF37,"")</f>
        <v>-0.11214953271028037</v>
      </c>
      <c r="AJ37" s="441">
        <f>IF(AG37&gt;0,(L37-AG37)/AG37,"")</f>
        <v>0</v>
      </c>
      <c r="AK37" s="442">
        <f>IF(AH37&gt;0,(O37-AH37)/AH37,"")</f>
        <v>-0.11049723756906078</v>
      </c>
      <c r="AL37" s="1087"/>
      <c r="AN37" s="1552">
        <v>14</v>
      </c>
    </row>
    <row r="38" spans="1:40" ht="30" customHeight="1">
      <c r="A38" s="1051"/>
      <c r="B38" s="489" t="s">
        <v>211</v>
      </c>
      <c r="C38" s="497"/>
      <c r="D38" s="498"/>
      <c r="E38" s="499"/>
      <c r="F38" s="500"/>
      <c r="G38" s="501"/>
      <c r="H38" s="501"/>
      <c r="I38" s="502"/>
      <c r="J38" s="498"/>
      <c r="K38" s="500"/>
      <c r="L38" s="502"/>
      <c r="M38" s="501"/>
      <c r="N38" s="501"/>
      <c r="O38" s="502"/>
      <c r="P38" s="297"/>
      <c r="Q38" s="511"/>
      <c r="R38" s="512"/>
      <c r="S38" s="513"/>
      <c r="T38" s="297"/>
      <c r="U38" s="375"/>
      <c r="V38" s="1083"/>
      <c r="W38" s="320"/>
      <c r="X38" s="431"/>
      <c r="Y38" s="432"/>
      <c r="Z38" s="433"/>
      <c r="AA38" s="434"/>
      <c r="AB38" s="435"/>
      <c r="AC38" s="436"/>
      <c r="AD38" s="1086"/>
      <c r="AE38" s="321"/>
      <c r="AF38" s="437"/>
      <c r="AG38" s="438"/>
      <c r="AH38" s="439"/>
      <c r="AI38" s="440"/>
      <c r="AJ38" s="441"/>
      <c r="AK38" s="442"/>
      <c r="AL38" s="1087"/>
      <c r="AN38" s="1552"/>
    </row>
    <row r="39" spans="1:40" ht="30" customHeight="1">
      <c r="A39" s="1051"/>
      <c r="B39" s="494" t="s">
        <v>439</v>
      </c>
      <c r="C39" s="497"/>
      <c r="D39" s="465"/>
      <c r="E39" s="424">
        <f>D39</f>
        <v>0</v>
      </c>
      <c r="F39" s="423"/>
      <c r="G39" s="370"/>
      <c r="H39" s="370">
        <f>SUM(D39,F39)</f>
        <v>0</v>
      </c>
      <c r="I39" s="466">
        <f>H39</f>
        <v>0</v>
      </c>
      <c r="J39" s="465"/>
      <c r="K39" s="423"/>
      <c r="L39" s="467">
        <f t="shared" si="8"/>
        <v>0</v>
      </c>
      <c r="M39" s="427">
        <f>SUM(E39,J39)</f>
        <v>0</v>
      </c>
      <c r="N39" s="370">
        <f>SUM(F39,K39)</f>
        <v>0</v>
      </c>
      <c r="O39" s="428">
        <f>SUM(M39:N39)</f>
        <v>0</v>
      </c>
      <c r="P39" s="297"/>
      <c r="Q39" s="410"/>
      <c r="R39" s="318"/>
      <c r="S39" s="319"/>
      <c r="T39" s="297"/>
      <c r="U39" s="471">
        <f>O39</f>
        <v>0</v>
      </c>
      <c r="V39" s="1083"/>
      <c r="W39" s="320"/>
      <c r="X39" s="431">
        <f>VLOOKUP($AN39,Early_Stats_Last_Year,VLOOKUP(Background!$C$2,Inst_Tables,15,FALSE),FALSE)</f>
        <v>0</v>
      </c>
      <c r="Y39" s="432">
        <f>VLOOKUP($AN39,Early_Stats_Last_Year,VLOOKUP(Background!$C$2,Inst_Tables,16,FALSE),FALSE)</f>
        <v>0</v>
      </c>
      <c r="Z39" s="433">
        <f>SUM(X39:Y39)</f>
        <v>0</v>
      </c>
      <c r="AA39" s="434" t="str">
        <f>IF(X39&gt;0,(I39-X39)/X39,"")</f>
        <v/>
      </c>
      <c r="AB39" s="435" t="str">
        <f>IF(Y39&gt;0,(L39-Y39)/Y39,"")</f>
        <v/>
      </c>
      <c r="AC39" s="436" t="str">
        <f>IF(Z39&gt;0,(O39-Z39)/Z39,"")</f>
        <v/>
      </c>
      <c r="AD39" s="1086"/>
      <c r="AE39" s="321"/>
      <c r="AF39" s="437">
        <f>VLOOKUP($AN39,Final_Figures_Last_Year,VLOOKUP(Background!$C$2,Inst_Tables,15,FALSE),FALSE)</f>
        <v>0</v>
      </c>
      <c r="AG39" s="438">
        <f>VLOOKUP($AN39,Final_Figures_Last_Year,VLOOKUP(Background!$C$2,Inst_Tables,16,FALSE),FALSE)</f>
        <v>0</v>
      </c>
      <c r="AH39" s="439">
        <f>SUM(AF39:AG39)</f>
        <v>0</v>
      </c>
      <c r="AI39" s="440" t="str">
        <f>IF(AF39&gt;0,(I39-AF39)/AF39,"")</f>
        <v/>
      </c>
      <c r="AJ39" s="441" t="str">
        <f>IF(AG39&gt;0,(L39-AG39)/AG39,"")</f>
        <v/>
      </c>
      <c r="AK39" s="442" t="str">
        <f>IF(AH39&gt;0,(O39-AH39)/AH39,"")</f>
        <v/>
      </c>
      <c r="AL39" s="1087"/>
      <c r="AN39" s="1552">
        <v>15</v>
      </c>
    </row>
    <row r="40" spans="1:40" ht="30" customHeight="1">
      <c r="A40" s="1051"/>
      <c r="B40" s="494" t="s">
        <v>440</v>
      </c>
      <c r="C40" s="497"/>
      <c r="D40" s="1587">
        <v>41</v>
      </c>
      <c r="E40" s="424">
        <f>D40</f>
        <v>41</v>
      </c>
      <c r="F40" s="423"/>
      <c r="G40" s="370"/>
      <c r="H40" s="370">
        <f>SUM(D40,F40)</f>
        <v>41</v>
      </c>
      <c r="I40" s="466">
        <f>H40</f>
        <v>41</v>
      </c>
      <c r="J40" s="465"/>
      <c r="K40" s="423"/>
      <c r="L40" s="467">
        <f t="shared" ref="L40" si="10">SUM(J40:K40)</f>
        <v>0</v>
      </c>
      <c r="M40" s="427">
        <f>SUM(E40,J40)</f>
        <v>41</v>
      </c>
      <c r="N40" s="370">
        <f>SUM(F40,K40)</f>
        <v>0</v>
      </c>
      <c r="O40" s="428">
        <f>SUM(M40:N40)</f>
        <v>41</v>
      </c>
      <c r="P40" s="297"/>
      <c r="Q40" s="410"/>
      <c r="R40" s="318"/>
      <c r="S40" s="319"/>
      <c r="T40" s="297"/>
      <c r="U40" s="471">
        <f>O40</f>
        <v>41</v>
      </c>
      <c r="V40" s="1083"/>
      <c r="W40" s="320"/>
      <c r="X40" s="514"/>
      <c r="Y40" s="515"/>
      <c r="Z40" s="516"/>
      <c r="AA40" s="517"/>
      <c r="AB40" s="518"/>
      <c r="AC40" s="519"/>
      <c r="AD40" s="1086"/>
      <c r="AE40" s="321"/>
      <c r="AF40" s="520"/>
      <c r="AG40" s="521"/>
      <c r="AH40" s="522"/>
      <c r="AI40" s="523"/>
      <c r="AJ40" s="524"/>
      <c r="AK40" s="525"/>
      <c r="AL40" s="1087"/>
      <c r="AN40" s="1552"/>
    </row>
    <row r="41" spans="1:40" ht="30" customHeight="1">
      <c r="A41" s="1051"/>
      <c r="B41" s="404" t="s">
        <v>110</v>
      </c>
      <c r="C41" s="526"/>
      <c r="D41" s="527"/>
      <c r="E41" s="528"/>
      <c r="F41" s="529"/>
      <c r="G41" s="530"/>
      <c r="H41" s="530"/>
      <c r="I41" s="531"/>
      <c r="J41" s="527"/>
      <c r="K41" s="529"/>
      <c r="L41" s="531"/>
      <c r="M41" s="530"/>
      <c r="N41" s="530"/>
      <c r="O41" s="531"/>
      <c r="P41" s="297"/>
      <c r="Q41" s="410"/>
      <c r="R41" s="318"/>
      <c r="S41" s="411"/>
      <c r="T41" s="297"/>
      <c r="U41" s="375"/>
      <c r="V41" s="1083"/>
      <c r="W41" s="320"/>
      <c r="X41" s="532"/>
      <c r="Y41" s="533"/>
      <c r="Z41" s="414"/>
      <c r="AA41" s="415"/>
      <c r="AB41" s="413"/>
      <c r="AC41" s="416"/>
      <c r="AD41" s="1086"/>
      <c r="AE41" s="321"/>
      <c r="AF41" s="534"/>
      <c r="AG41" s="535"/>
      <c r="AH41" s="419"/>
      <c r="AI41" s="420"/>
      <c r="AJ41" s="418"/>
      <c r="AK41" s="322"/>
      <c r="AL41" s="1087"/>
      <c r="AN41" s="1553"/>
    </row>
    <row r="42" spans="1:40" ht="30" customHeight="1">
      <c r="A42" s="1051"/>
      <c r="B42" s="421" t="s">
        <v>215</v>
      </c>
      <c r="C42" s="425">
        <v>188.04</v>
      </c>
      <c r="D42" s="425">
        <v>4902.7740000000031</v>
      </c>
      <c r="E42" s="424">
        <f>SUM(C42:D42)</f>
        <v>5090.814000000003</v>
      </c>
      <c r="F42" s="423"/>
      <c r="G42" s="370">
        <f t="shared" ref="G42:G43" si="11">C42</f>
        <v>188.04</v>
      </c>
      <c r="H42" s="370">
        <f>SUM(D42,F42)</f>
        <v>4902.7740000000031</v>
      </c>
      <c r="I42" s="466">
        <f>SUM(G42:H42)</f>
        <v>5090.814000000003</v>
      </c>
      <c r="J42" s="425">
        <v>21.908999999999999</v>
      </c>
      <c r="K42" s="423">
        <v>1.1000000000000001</v>
      </c>
      <c r="L42" s="467">
        <f>SUM(J42:K42)</f>
        <v>23.009</v>
      </c>
      <c r="M42" s="427">
        <f>SUM(E42,J42)</f>
        <v>5112.7230000000027</v>
      </c>
      <c r="N42" s="370">
        <f>SUM(F42,K42)</f>
        <v>1.1000000000000001</v>
      </c>
      <c r="O42" s="428">
        <f>SUM(M42:N42)</f>
        <v>5113.823000000003</v>
      </c>
      <c r="P42" s="297"/>
      <c r="Q42" s="410"/>
      <c r="R42" s="318"/>
      <c r="S42" s="411"/>
      <c r="T42" s="297"/>
      <c r="U42" s="375"/>
      <c r="V42" s="1083"/>
      <c r="W42" s="320"/>
      <c r="X42" s="431">
        <f>VLOOKUP($AN42,Early_Stats_Last_Year,VLOOKUP(Background!$C$2,Inst_Tables,15,FALSE),FALSE)</f>
        <v>5222.1000000000004</v>
      </c>
      <c r="Y42" s="432">
        <f>VLOOKUP($AN42,Early_Stats_Last_Year,VLOOKUP(Background!$C$2,Inst_Tables,16,FALSE),FALSE)</f>
        <v>30.2</v>
      </c>
      <c r="Z42" s="433">
        <f>SUM(X42:Y42)</f>
        <v>5252.3</v>
      </c>
      <c r="AA42" s="434">
        <f>IF(X42&gt;0,(I42-X42)/X42,"")</f>
        <v>-2.5140460734186881E-2</v>
      </c>
      <c r="AB42" s="435">
        <f>IF(Y42&gt;0,(L42-Y42)/Y42,"")</f>
        <v>-0.23811258278145692</v>
      </c>
      <c r="AC42" s="436">
        <f>IF(Z42&gt;0,(O42-Z42)/Z42,"")</f>
        <v>-2.6365021038401677E-2</v>
      </c>
      <c r="AD42" s="1086"/>
      <c r="AE42" s="321"/>
      <c r="AF42" s="437">
        <f>VLOOKUP($AN42,Final_Figures_Last_Year,VLOOKUP(Background!$C$2,Inst_Tables,15,FALSE),FALSE)</f>
        <v>5206.4210000000103</v>
      </c>
      <c r="AG42" s="438">
        <f>VLOOKUP($AN42,Final_Figures_Last_Year,VLOOKUP(Background!$C$2,Inst_Tables,16,FALSE),FALSE)</f>
        <v>31.322099999999999</v>
      </c>
      <c r="AH42" s="439">
        <f>SUM(AF42:AG42)</f>
        <v>5237.7431000000106</v>
      </c>
      <c r="AI42" s="440">
        <f>IF(AF42&gt;0,(I42-AF42)/AF42,"")</f>
        <v>-2.2204696854135886E-2</v>
      </c>
      <c r="AJ42" s="441">
        <f>IF(AG42&gt;0,(L42-AG42)/AG42,"")</f>
        <v>-0.26540685330804764</v>
      </c>
      <c r="AK42" s="442">
        <f>IF(AH42&gt;0,(O42-AH42)/AH42,"")</f>
        <v>-2.3659064149214822E-2</v>
      </c>
      <c r="AL42" s="1087"/>
      <c r="AN42" s="1552">
        <v>16</v>
      </c>
    </row>
    <row r="43" spans="1:40" ht="30" customHeight="1">
      <c r="A43" s="1051"/>
      <c r="B43" s="421" t="s">
        <v>216</v>
      </c>
      <c r="C43" s="425">
        <v>331.16</v>
      </c>
      <c r="D43" s="1587">
        <v>6040.96</v>
      </c>
      <c r="E43" s="424">
        <f>SUM(C43:D43)</f>
        <v>6372.12</v>
      </c>
      <c r="F43" s="423">
        <v>41.4</v>
      </c>
      <c r="G43" s="370">
        <f t="shared" si="11"/>
        <v>331.16</v>
      </c>
      <c r="H43" s="370">
        <f>SUM(D43,F43)</f>
        <v>6082.36</v>
      </c>
      <c r="I43" s="466">
        <f>SUM(G43:H43)</f>
        <v>6413.5199999999995</v>
      </c>
      <c r="J43" s="425">
        <v>87.471000000000004</v>
      </c>
      <c r="K43" s="423">
        <v>9.1999999999999993</v>
      </c>
      <c r="L43" s="467">
        <f>SUM(J43:K43)</f>
        <v>96.671000000000006</v>
      </c>
      <c r="M43" s="427">
        <f>SUM(E43,J43)</f>
        <v>6459.5910000000003</v>
      </c>
      <c r="N43" s="370">
        <f>SUM(F43,K43)</f>
        <v>50.599999999999994</v>
      </c>
      <c r="O43" s="428">
        <f>SUM(M43:N43)</f>
        <v>6510.1910000000007</v>
      </c>
      <c r="P43" s="297"/>
      <c r="Q43" s="410"/>
      <c r="R43" s="318"/>
      <c r="S43" s="411"/>
      <c r="T43" s="297"/>
      <c r="U43" s="375"/>
      <c r="V43" s="1083"/>
      <c r="W43" s="320"/>
      <c r="X43" s="431">
        <f>VLOOKUP($AN43,Early_Stats_Last_Year,VLOOKUP(Background!$C$2,Inst_Tables,15,FALSE),FALSE)</f>
        <v>6811.63</v>
      </c>
      <c r="Y43" s="432">
        <f>VLOOKUP($AN43,Early_Stats_Last_Year,VLOOKUP(Background!$C$2,Inst_Tables,16,FALSE),FALSE)</f>
        <v>107.7</v>
      </c>
      <c r="Z43" s="433">
        <f>SUM(X43:Y43)</f>
        <v>6919.33</v>
      </c>
      <c r="AA43" s="434">
        <f>IF(X43&gt;0,(SUM(I40,I43)-X43)/X43,"")</f>
        <v>-5.2426511715991705E-2</v>
      </c>
      <c r="AB43" s="435">
        <f>IF(Y43&gt;0,(SUM(L40,L43)-Y43)/Y43,"")</f>
        <v>-0.10240482822655521</v>
      </c>
      <c r="AC43" s="436">
        <f>IF(Z43&gt;0,(SUM(O40,O43)-Z43)/Z43,"")</f>
        <v>-5.320442875249471E-2</v>
      </c>
      <c r="AD43" s="1086"/>
      <c r="AE43" s="321"/>
      <c r="AF43" s="437">
        <f>VLOOKUP($AN43,Final_Figures_Last_Year,VLOOKUP(Background!$C$2,Inst_Tables,15,FALSE),FALSE)</f>
        <v>6852.99999999999</v>
      </c>
      <c r="AG43" s="438">
        <f>VLOOKUP($AN43,Final_Figures_Last_Year,VLOOKUP(Background!$C$2,Inst_Tables,16,FALSE),FALSE)</f>
        <v>116.8879</v>
      </c>
      <c r="AH43" s="439">
        <f>SUM(AF43:AG43)</f>
        <v>6969.8878999999897</v>
      </c>
      <c r="AI43" s="440">
        <f>IF(AF43&gt;0,(SUM(I40,I43)-AF43)/AF43,"")</f>
        <v>-5.8146797023200213E-2</v>
      </c>
      <c r="AJ43" s="441">
        <f>IF(AG43&gt;0,(SUM(L40,L43)-AG43)/AG43,"")</f>
        <v>-0.17295973321447297</v>
      </c>
      <c r="AK43" s="442">
        <f>IF(AH43&gt;0,(SUM(O40,O43)-AH43)/AH43,"")</f>
        <v>-6.0072257403162771E-2</v>
      </c>
      <c r="AL43" s="1087"/>
      <c r="AN43" s="1552">
        <v>17</v>
      </c>
    </row>
    <row r="44" spans="1:40" ht="35.1" customHeight="1" thickBot="1">
      <c r="A44" s="1051"/>
      <c r="B44" s="536" t="s">
        <v>2</v>
      </c>
      <c r="C44" s="444">
        <f>SUM(C29:C31,C34:C37,C42:C43)</f>
        <v>718.2</v>
      </c>
      <c r="D44" s="445">
        <f>SUM(D29:D32,D34:D37,D39:D40,D42:D43)</f>
        <v>12778.734000000004</v>
      </c>
      <c r="E44" s="448">
        <f>SUM(E29:E32,E34:E37,E39:E40,E42:E43)</f>
        <v>13496.934000000003</v>
      </c>
      <c r="F44" s="445">
        <f>SUM(F29:F32,F34:F37,F39:F40,F42:F43)</f>
        <v>41.4</v>
      </c>
      <c r="G44" s="445">
        <f>SUM(G29:G31,G34:G37,G42:G43)</f>
        <v>718.2</v>
      </c>
      <c r="H44" s="445">
        <f t="shared" ref="H44:O44" si="12">SUM(H29:H32,H34:H37,H39:H40,H42:H43)</f>
        <v>12820.134000000002</v>
      </c>
      <c r="I44" s="447">
        <f t="shared" si="12"/>
        <v>13538.334000000003</v>
      </c>
      <c r="J44" s="444">
        <f t="shared" si="12"/>
        <v>116.58</v>
      </c>
      <c r="K44" s="445">
        <f t="shared" si="12"/>
        <v>10.299999999999999</v>
      </c>
      <c r="L44" s="448">
        <f t="shared" si="12"/>
        <v>126.88000000000001</v>
      </c>
      <c r="M44" s="444">
        <f t="shared" si="12"/>
        <v>13613.514000000003</v>
      </c>
      <c r="N44" s="445">
        <f t="shared" si="12"/>
        <v>51.699999999999996</v>
      </c>
      <c r="O44" s="447">
        <f t="shared" si="12"/>
        <v>13665.214000000004</v>
      </c>
      <c r="P44" s="297"/>
      <c r="Q44" s="449"/>
      <c r="R44" s="450"/>
      <c r="S44" s="451"/>
      <c r="T44" s="297"/>
      <c r="U44" s="452"/>
      <c r="V44" s="1083"/>
      <c r="W44" s="320"/>
      <c r="X44" s="537">
        <f>SUM(X29:X32,X34:X37,X39,X42:X43)</f>
        <v>14195.73</v>
      </c>
      <c r="Y44" s="453">
        <f>SUM(Y29:Y32,Y34:Y37,Y39,Y42:Y43)</f>
        <v>145.9</v>
      </c>
      <c r="Z44" s="454">
        <f>SUM(Z29:Z32,Z34:Z37,Z39,Z42:Z43)</f>
        <v>14341.630000000001</v>
      </c>
      <c r="AA44" s="455">
        <f>IF(X44&gt;0,(I44-X44)/X44,"")</f>
        <v>-4.6309418395531404E-2</v>
      </c>
      <c r="AB44" s="456">
        <f>IF(Y44&gt;0,(L44-Y44)/Y44,"")</f>
        <v>-0.13036326250856747</v>
      </c>
      <c r="AC44" s="457">
        <f>IF(Z44&gt;0,(O44-Z44)/Z44,"")</f>
        <v>-4.7164513378186258E-2</v>
      </c>
      <c r="AD44" s="1086"/>
      <c r="AE44" s="321"/>
      <c r="AF44" s="538">
        <f>SUM(AF29:AF32,AF34:AF37,AF39,AF42:AF43)</f>
        <v>14217.505000000001</v>
      </c>
      <c r="AG44" s="458">
        <f>SUM(AG29:AG32,AG34:AG37,AG39,AG42:AG43)</f>
        <v>163.86</v>
      </c>
      <c r="AH44" s="459">
        <f>SUM(AH29:AH32,AH34:AH37,AH39,AH42:AH43)</f>
        <v>14381.365000000002</v>
      </c>
      <c r="AI44" s="460">
        <f>IF(AF44&gt;0,(I44-AF44)/AF44,"")</f>
        <v>-4.777005529451183E-2</v>
      </c>
      <c r="AJ44" s="461">
        <f>IF(AG44&gt;0,(L44-AG44)/AG44,"")</f>
        <v>-0.22568045892835348</v>
      </c>
      <c r="AK44" s="462">
        <f>IF(AH44&gt;0,(O44-AH44)/AH44,"")</f>
        <v>-4.9797150687712739E-2</v>
      </c>
      <c r="AL44" s="1087"/>
      <c r="AN44" s="1554"/>
    </row>
    <row r="45" spans="1:40" ht="35.1" customHeight="1" thickBot="1">
      <c r="A45" s="1051"/>
      <c r="B45" s="362" t="s">
        <v>116</v>
      </c>
      <c r="C45" s="539"/>
      <c r="D45" s="540"/>
      <c r="E45" s="541">
        <f>SUM(E13,E19,E25,E44)</f>
        <v>15910.184000000003</v>
      </c>
      <c r="F45" s="541">
        <f>SUM(F13,F19,F25,F44)</f>
        <v>61.3</v>
      </c>
      <c r="G45" s="542"/>
      <c r="H45" s="542"/>
      <c r="I45" s="371">
        <f t="shared" ref="I45:O45" si="13">SUM(I13,I19,I25,I44)</f>
        <v>15971.484000000002</v>
      </c>
      <c r="J45" s="543">
        <f t="shared" si="13"/>
        <v>787.11133300000017</v>
      </c>
      <c r="K45" s="544">
        <f t="shared" si="13"/>
        <v>114.60000000000001</v>
      </c>
      <c r="L45" s="541">
        <f t="shared" si="13"/>
        <v>901.71133300000008</v>
      </c>
      <c r="M45" s="545">
        <f t="shared" si="13"/>
        <v>16697.295333000002</v>
      </c>
      <c r="N45" s="544">
        <f t="shared" si="13"/>
        <v>175.89999999999998</v>
      </c>
      <c r="O45" s="371">
        <f t="shared" si="13"/>
        <v>16873.195333000003</v>
      </c>
      <c r="P45" s="297"/>
      <c r="Q45" s="449"/>
      <c r="R45" s="450"/>
      <c r="S45" s="451"/>
      <c r="T45" s="297"/>
      <c r="U45" s="452"/>
      <c r="V45" s="1083"/>
      <c r="W45" s="320"/>
      <c r="X45" s="546">
        <f>SUM(X13,X19,X25,X44)</f>
        <v>16616.154999999999</v>
      </c>
      <c r="Y45" s="547">
        <f>SUM(Y13,Y19,Y25,Y44)</f>
        <v>749.26</v>
      </c>
      <c r="Z45" s="378">
        <f>SUM(Z13,Z19,Z25,Z44)</f>
        <v>17365.415000000001</v>
      </c>
      <c r="AA45" s="455">
        <f>IF(X45&gt;0,(I45-X45)/X45,"")</f>
        <v>-3.8797844627713012E-2</v>
      </c>
      <c r="AB45" s="456">
        <f>IF(Y45&gt;0,(L45-Y45)/Y45,"")</f>
        <v>0.20346920027760737</v>
      </c>
      <c r="AC45" s="457">
        <f>IF(Z45&gt;0,(O45-Z45)/Z45,"")</f>
        <v>-2.8344826023449343E-2</v>
      </c>
      <c r="AD45" s="1086"/>
      <c r="AE45" s="321"/>
      <c r="AF45" s="548">
        <f>SUM(AF13,AF19,AF25,AF44)</f>
        <v>16634.505000000001</v>
      </c>
      <c r="AG45" s="549">
        <f>SUM(AG13,AG19,AG25,AG44)</f>
        <v>871.93099700000005</v>
      </c>
      <c r="AH45" s="384">
        <f>SUM(AH13,AH19,AH25,AH44)</f>
        <v>17506.435997</v>
      </c>
      <c r="AI45" s="460">
        <f>IF(AF45&gt;0,(I45-AF45)/AF45,"")</f>
        <v>-3.9858174318983267E-2</v>
      </c>
      <c r="AJ45" s="461">
        <f>IF(AG45&gt;0,(L45-AG45)/AG45,"")</f>
        <v>3.4154464174875561E-2</v>
      </c>
      <c r="AK45" s="462">
        <f>IF(AH45&gt;0,(O45-AH45)/AH45,"")</f>
        <v>-3.6171877823019651E-2</v>
      </c>
      <c r="AL45" s="1087"/>
      <c r="AN45" s="1549"/>
    </row>
    <row r="46" spans="1:40">
      <c r="A46" s="1058"/>
      <c r="B46" s="297"/>
      <c r="C46" s="297"/>
      <c r="D46" s="297"/>
      <c r="E46" s="297"/>
      <c r="F46" s="297"/>
      <c r="G46" s="297"/>
      <c r="H46" s="297"/>
      <c r="I46" s="297"/>
      <c r="J46" s="297"/>
      <c r="K46" s="297"/>
      <c r="L46" s="297"/>
      <c r="M46" s="297"/>
      <c r="N46" s="297"/>
      <c r="O46" s="297"/>
      <c r="P46" s="297"/>
      <c r="Q46" s="297"/>
      <c r="R46" s="297"/>
      <c r="S46" s="297"/>
      <c r="T46" s="297"/>
      <c r="U46" s="297"/>
      <c r="V46" s="1083"/>
      <c r="W46" s="320"/>
      <c r="X46" s="550"/>
      <c r="Y46" s="550"/>
      <c r="Z46" s="550"/>
      <c r="AA46" s="550"/>
      <c r="AB46" s="550"/>
      <c r="AC46" s="550"/>
      <c r="AD46" s="1086"/>
      <c r="AE46" s="321"/>
      <c r="AF46" s="321"/>
      <c r="AG46" s="321"/>
      <c r="AH46" s="321"/>
      <c r="AI46" s="321"/>
      <c r="AJ46" s="321"/>
      <c r="AK46" s="321"/>
      <c r="AL46" s="1087"/>
      <c r="AN46" s="1549"/>
    </row>
    <row r="47" spans="1:40">
      <c r="A47" s="1058"/>
      <c r="B47" s="551"/>
      <c r="C47" s="1376" t="s">
        <v>442</v>
      </c>
      <c r="D47" s="297"/>
      <c r="E47" s="297"/>
      <c r="F47" s="297"/>
      <c r="G47" s="297"/>
      <c r="H47" s="297"/>
      <c r="I47" s="297"/>
      <c r="J47" s="297"/>
      <c r="K47" s="297"/>
      <c r="L47" s="297"/>
      <c r="M47" s="297"/>
      <c r="N47" s="297"/>
      <c r="O47" s="297"/>
      <c r="P47" s="297"/>
      <c r="Q47" s="297"/>
      <c r="R47" s="297"/>
      <c r="S47" s="297"/>
      <c r="T47" s="297"/>
      <c r="U47" s="297"/>
      <c r="V47" s="1083"/>
      <c r="W47" s="320"/>
      <c r="X47" s="552"/>
      <c r="Y47" s="552"/>
      <c r="Z47" s="552"/>
      <c r="AA47" s="550"/>
      <c r="AB47" s="550"/>
      <c r="AC47" s="550"/>
      <c r="AD47" s="1086"/>
      <c r="AE47" s="321"/>
      <c r="AF47" s="553"/>
      <c r="AG47" s="553"/>
      <c r="AH47" s="553"/>
      <c r="AI47" s="321"/>
      <c r="AJ47" s="321"/>
      <c r="AK47" s="321"/>
      <c r="AL47" s="1087"/>
      <c r="AN47" s="1555">
        <v>18</v>
      </c>
    </row>
    <row r="48" spans="1:40">
      <c r="A48" s="1058"/>
      <c r="B48" s="551"/>
      <c r="C48" s="1376" t="s">
        <v>443</v>
      </c>
      <c r="D48" s="297"/>
      <c r="E48" s="297"/>
      <c r="F48" s="297"/>
      <c r="G48" s="297"/>
      <c r="H48" s="297"/>
      <c r="I48" s="297"/>
      <c r="J48" s="297"/>
      <c r="K48" s="297"/>
      <c r="L48" s="297"/>
      <c r="M48" s="297"/>
      <c r="N48" s="297"/>
      <c r="O48" s="297"/>
      <c r="P48" s="297"/>
      <c r="Q48" s="297"/>
      <c r="R48" s="297"/>
      <c r="S48" s="297"/>
      <c r="T48" s="297"/>
      <c r="U48" s="297"/>
      <c r="V48" s="1083"/>
      <c r="W48" s="320"/>
      <c r="X48" s="552"/>
      <c r="Y48" s="552"/>
      <c r="Z48" s="552"/>
      <c r="AA48" s="550"/>
      <c r="AB48" s="550"/>
      <c r="AC48" s="550"/>
      <c r="AD48" s="1086"/>
      <c r="AE48" s="321"/>
      <c r="AF48" s="553"/>
      <c r="AG48" s="553"/>
      <c r="AH48" s="553"/>
      <c r="AI48" s="321"/>
      <c r="AJ48" s="321"/>
      <c r="AK48" s="321"/>
      <c r="AL48" s="1087"/>
      <c r="AN48" s="1555"/>
    </row>
    <row r="49" spans="1:38" ht="24.95" customHeight="1">
      <c r="A49" s="1058"/>
      <c r="B49" s="297"/>
      <c r="C49" s="1377" t="s">
        <v>117</v>
      </c>
      <c r="D49" s="297"/>
      <c r="E49" s="297"/>
      <c r="F49" s="297"/>
      <c r="G49" s="297"/>
      <c r="H49" s="297"/>
      <c r="I49" s="297"/>
      <c r="J49" s="297"/>
      <c r="K49" s="297"/>
      <c r="L49" s="297"/>
      <c r="M49" s="297"/>
      <c r="N49" s="297"/>
      <c r="O49" s="297"/>
      <c r="P49" s="297"/>
      <c r="Q49" s="297"/>
      <c r="R49" s="297"/>
      <c r="S49" s="297"/>
      <c r="T49" s="297"/>
      <c r="U49" s="297"/>
      <c r="V49" s="1083"/>
      <c r="W49" s="320"/>
      <c r="X49" s="554"/>
      <c r="Y49" s="554"/>
      <c r="Z49" s="554"/>
      <c r="AA49" s="550"/>
      <c r="AB49" s="550"/>
      <c r="AC49" s="550"/>
      <c r="AD49" s="1086"/>
      <c r="AE49" s="321"/>
      <c r="AF49" s="321"/>
      <c r="AG49" s="321"/>
      <c r="AH49" s="321"/>
      <c r="AI49" s="321"/>
      <c r="AJ49" s="321"/>
      <c r="AK49" s="321"/>
      <c r="AL49" s="1087"/>
    </row>
    <row r="50" spans="1:38">
      <c r="A50" s="1059"/>
      <c r="B50" s="1089"/>
      <c r="C50" s="1378"/>
      <c r="D50" s="1089"/>
      <c r="E50" s="1089"/>
      <c r="F50" s="1089"/>
      <c r="G50" s="1089"/>
      <c r="H50" s="1089"/>
      <c r="I50" s="1089"/>
      <c r="J50" s="1089"/>
      <c r="K50" s="1089"/>
      <c r="L50" s="1089"/>
      <c r="M50" s="1089"/>
      <c r="N50" s="1089"/>
      <c r="O50" s="1089"/>
      <c r="P50" s="1089"/>
      <c r="Q50" s="1089"/>
      <c r="R50" s="1089"/>
      <c r="S50" s="1089"/>
      <c r="T50" s="1089"/>
      <c r="U50" s="1089"/>
      <c r="V50" s="1090"/>
      <c r="W50" s="1091"/>
      <c r="X50" s="1092"/>
      <c r="Y50" s="1092"/>
      <c r="Z50" s="1092"/>
      <c r="AA50" s="1092"/>
      <c r="AB50" s="1092"/>
      <c r="AC50" s="1092"/>
      <c r="AD50" s="1093"/>
      <c r="AE50" s="1094"/>
      <c r="AF50" s="1094"/>
      <c r="AG50" s="1094"/>
      <c r="AH50" s="1094"/>
      <c r="AI50" s="1094"/>
      <c r="AJ50" s="1094"/>
      <c r="AK50" s="1094"/>
      <c r="AL50" s="1095"/>
    </row>
    <row r="53" spans="1:38" ht="18.75" customHeight="1"/>
  </sheetData>
  <sheetProtection password="E23E" sheet="1" objects="1" scenarios="1"/>
  <mergeCells count="27">
    <mergeCell ref="C3:E3"/>
    <mergeCell ref="X7:X9"/>
    <mergeCell ref="Y7:Y9"/>
    <mergeCell ref="X6:Z6"/>
    <mergeCell ref="U6:U9"/>
    <mergeCell ref="C7:I7"/>
    <mergeCell ref="J7:L7"/>
    <mergeCell ref="X4:AC4"/>
    <mergeCell ref="AN6:AN9"/>
    <mergeCell ref="AA6:AC6"/>
    <mergeCell ref="AA7:AA9"/>
    <mergeCell ref="AB7:AB9"/>
    <mergeCell ref="J8:J9"/>
    <mergeCell ref="M8:M9"/>
    <mergeCell ref="Q8:Q9"/>
    <mergeCell ref="AF6:AH6"/>
    <mergeCell ref="AI6:AK6"/>
    <mergeCell ref="AF7:AF9"/>
    <mergeCell ref="AG7:AG9"/>
    <mergeCell ref="AI7:AI9"/>
    <mergeCell ref="AJ7:AJ9"/>
    <mergeCell ref="AF4:AK4"/>
    <mergeCell ref="C6:O6"/>
    <mergeCell ref="C8:E8"/>
    <mergeCell ref="G8:I8"/>
    <mergeCell ref="Q6:S7"/>
    <mergeCell ref="M7:O7"/>
  </mergeCells>
  <dataValidations count="1">
    <dataValidation allowBlank="1" sqref="B6 I1:I3 K8:L13 X1:X4 AM1:DZ3 B9 Q1:S3 T7:T12 T1:T4 R4:S5 C6:C12 I4:L4 K1:L3 D9:E12 M1:N4 H9:I12 M10:M12 X47:Y48 J45:O45 T5:V6 V1:V4 Q4:Q6 Y7:Z7 AN10:AN12 X6:X7 AM4:DW6 J10:J13 Q8 R8:S11 AA6:AA7 AA5:AC5 AB7:AC7 J7:J8 AF4 M7:M8 AJ7:AK7 AF47:AG48 AG7:AH7 AF6:AF7 AI6:AI7 AF5:AK5 N8:P12 Q12:S12 Q10:Q11 X10:AC45 AL4:AL45 AD4:AE45 AO7:DX45 AM7:AM45 I5:P5 W1:W45 V7:V45 M13:O44 J14:L44 B13:I45 P13:T45 F8:G12 AF10:AK45 U10:U45"/>
  </dataValidations>
  <pageMargins left="0.15748031496062992" right="0.15748031496062992" top="0.15748031496062992" bottom="0.15748031496062992" header="0.15748031496062992" footer="0.15748031496062992"/>
  <pageSetup paperSize="9" scale="38" fitToWidth="2" orientation="landscape" r:id="rId1"/>
  <headerFooter alignWithMargins="0"/>
  <colBreaks count="1" manualBreakCount="1">
    <brk id="22" max="4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7"/>
  <sheetViews>
    <sheetView zoomScale="90" zoomScaleNormal="90" workbookViewId="0"/>
  </sheetViews>
  <sheetFormatPr defaultRowHeight="15"/>
  <cols>
    <col min="1" max="1" width="2.7109375" style="1547" customWidth="1"/>
    <col min="2" max="2" width="40.7109375" style="1547" customWidth="1"/>
    <col min="3" max="5" width="12.7109375" style="1547" customWidth="1"/>
    <col min="6" max="12" width="11.7109375" style="1547" customWidth="1"/>
    <col min="13" max="14" width="4.7109375" style="1561" customWidth="1"/>
    <col min="15" max="15" width="25.28515625" style="1547" customWidth="1"/>
    <col min="16" max="16" width="34.42578125" style="1547" customWidth="1"/>
    <col min="17" max="18" width="12.7109375" style="1547" customWidth="1"/>
    <col min="19" max="19" width="25.7109375" style="1547" customWidth="1"/>
    <col min="20" max="20" width="6" style="1547" customWidth="1"/>
    <col min="21" max="21" width="10.5703125" style="1547" customWidth="1"/>
    <col min="22" max="28" width="11.7109375" style="1547" hidden="1" customWidth="1"/>
    <col min="29" max="29" width="9.140625" style="1547" hidden="1" customWidth="1"/>
    <col min="30" max="30" width="11.7109375" style="1547" hidden="1" customWidth="1"/>
    <col min="31" max="31" width="9.140625" style="1547" hidden="1" customWidth="1"/>
    <col min="32" max="34" width="0" style="1547" hidden="1" customWidth="1"/>
    <col min="35" max="16384" width="9.140625" style="1547"/>
  </cols>
  <sheetData>
    <row r="1" spans="1:32" ht="39.950000000000003" customHeight="1">
      <c r="A1" s="580"/>
      <c r="B1" s="630" t="str">
        <f>IF(F4=0,"Your Institution Does Not Complete This Table","")</f>
        <v/>
      </c>
      <c r="C1" s="60"/>
      <c r="D1" s="60"/>
      <c r="E1" s="60"/>
      <c r="F1" s="60"/>
      <c r="G1" s="60"/>
      <c r="H1" s="60"/>
      <c r="I1" s="60"/>
      <c r="J1" s="60"/>
      <c r="K1" s="60"/>
      <c r="L1" s="60"/>
      <c r="M1" s="61"/>
      <c r="N1" s="61"/>
      <c r="O1" s="60"/>
      <c r="P1" s="60"/>
      <c r="Q1" s="60"/>
      <c r="R1" s="60"/>
      <c r="S1" s="60"/>
      <c r="T1" s="60"/>
    </row>
    <row r="2" spans="1:32" ht="30" customHeight="1">
      <c r="A2" s="1099"/>
      <c r="B2" s="933" t="s">
        <v>283</v>
      </c>
      <c r="C2" s="63"/>
      <c r="D2" s="63"/>
      <c r="E2" s="63"/>
      <c r="F2" s="63"/>
      <c r="G2" s="63"/>
      <c r="H2" s="63"/>
      <c r="I2" s="63"/>
      <c r="J2" s="63"/>
      <c r="K2" s="63"/>
      <c r="L2" s="64"/>
      <c r="M2" s="65"/>
      <c r="N2" s="980"/>
      <c r="O2" s="66"/>
      <c r="P2" s="66"/>
      <c r="Q2" s="66"/>
      <c r="R2" s="66"/>
      <c r="S2" s="66"/>
      <c r="T2" s="66"/>
    </row>
    <row r="3" spans="1:32" ht="15" customHeight="1">
      <c r="A3" s="951"/>
      <c r="B3" s="1096"/>
      <c r="C3" s="67"/>
      <c r="D3" s="67"/>
      <c r="E3" s="991"/>
      <c r="F3" s="67"/>
      <c r="G3" s="67"/>
      <c r="H3" s="67"/>
      <c r="I3" s="67"/>
      <c r="J3" s="67"/>
      <c r="K3" s="67"/>
      <c r="L3" s="67"/>
      <c r="M3" s="68"/>
      <c r="N3" s="83"/>
      <c r="O3" s="66"/>
      <c r="P3" s="66"/>
      <c r="Q3" s="66"/>
      <c r="R3" s="66"/>
      <c r="S3" s="66"/>
      <c r="T3" s="66"/>
    </row>
    <row r="4" spans="1:32" ht="35.1" customHeight="1">
      <c r="A4" s="951"/>
      <c r="B4" s="1097" t="s">
        <v>0</v>
      </c>
      <c r="C4" s="1667" t="str">
        <f>Background!$D$2</f>
        <v>Glasgow, University of</v>
      </c>
      <c r="D4" s="1668"/>
      <c r="E4" s="1668"/>
      <c r="F4" s="986">
        <f>VLOOKUP(Background!$C$2,Inst_Tables,3,FALSE)</f>
        <v>1</v>
      </c>
      <c r="G4" s="69"/>
      <c r="H4" s="576"/>
      <c r="I4" s="67"/>
      <c r="J4" s="67"/>
      <c r="K4" s="67"/>
      <c r="L4" s="67"/>
      <c r="M4" s="68"/>
      <c r="N4" s="83"/>
      <c r="O4" s="66"/>
      <c r="P4" s="66"/>
      <c r="Q4" s="66"/>
      <c r="R4" s="66"/>
      <c r="S4" s="66"/>
      <c r="T4" s="66"/>
    </row>
    <row r="5" spans="1:32" ht="30" customHeight="1">
      <c r="A5" s="951"/>
      <c r="B5" s="73" t="s">
        <v>327</v>
      </c>
      <c r="C5" s="70"/>
      <c r="D5" s="70"/>
      <c r="E5" s="992"/>
      <c r="F5" s="72"/>
      <c r="G5" s="72"/>
      <c r="H5" s="67"/>
      <c r="I5" s="67"/>
      <c r="J5" s="67"/>
      <c r="K5" s="67"/>
      <c r="L5" s="67"/>
      <c r="M5" s="68"/>
      <c r="N5" s="83"/>
      <c r="O5" s="66"/>
      <c r="P5" s="66"/>
      <c r="Q5" s="66"/>
      <c r="R5" s="66"/>
      <c r="S5" s="66"/>
      <c r="T5" s="66"/>
    </row>
    <row r="6" spans="1:32" ht="24.95" customHeight="1">
      <c r="A6" s="951"/>
      <c r="B6" s="73" t="s">
        <v>447</v>
      </c>
      <c r="C6" s="70"/>
      <c r="D6" s="70"/>
      <c r="E6" s="71"/>
      <c r="F6" s="72"/>
      <c r="G6" s="72"/>
      <c r="H6" s="67"/>
      <c r="I6" s="67"/>
      <c r="J6" s="67"/>
      <c r="K6" s="67"/>
      <c r="L6" s="67"/>
      <c r="M6" s="68"/>
      <c r="N6" s="83"/>
      <c r="O6" s="66"/>
      <c r="P6" s="66"/>
      <c r="Q6" s="66"/>
      <c r="R6" s="66"/>
      <c r="S6" s="66"/>
      <c r="T6" s="66"/>
    </row>
    <row r="7" spans="1:32" ht="15" customHeight="1" thickBot="1">
      <c r="A7" s="951"/>
      <c r="B7" s="1098"/>
      <c r="C7" s="67"/>
      <c r="D7" s="67"/>
      <c r="E7" s="993"/>
      <c r="F7" s="67"/>
      <c r="G7" s="67"/>
      <c r="H7" s="67"/>
      <c r="I7" s="67"/>
      <c r="J7" s="67"/>
      <c r="K7" s="67"/>
      <c r="L7" s="67"/>
      <c r="M7" s="68"/>
      <c r="N7" s="83"/>
      <c r="O7" s="66"/>
      <c r="P7" s="66"/>
      <c r="Q7" s="66"/>
      <c r="R7" s="66"/>
      <c r="S7" s="66"/>
      <c r="T7" s="66"/>
    </row>
    <row r="8" spans="1:32" ht="35.1" customHeight="1">
      <c r="A8" s="951"/>
      <c r="B8" s="1100"/>
      <c r="C8" s="1676" t="s">
        <v>208</v>
      </c>
      <c r="D8" s="1677"/>
      <c r="E8" s="1677"/>
      <c r="F8" s="1678" t="s">
        <v>100</v>
      </c>
      <c r="G8" s="1679"/>
      <c r="H8" s="1679"/>
      <c r="I8" s="1679"/>
      <c r="J8" s="1679"/>
      <c r="K8" s="1679"/>
      <c r="L8" s="1680"/>
      <c r="M8" s="68"/>
      <c r="N8" s="83"/>
      <c r="O8" s="66"/>
      <c r="P8" s="66"/>
      <c r="Q8" s="66"/>
      <c r="R8" s="66"/>
      <c r="S8" s="66"/>
      <c r="T8" s="66"/>
      <c r="V8" s="1669" t="s">
        <v>295</v>
      </c>
      <c r="W8" s="1669" t="s">
        <v>296</v>
      </c>
      <c r="X8" s="1669" t="s">
        <v>297</v>
      </c>
      <c r="Y8" s="1669" t="s">
        <v>264</v>
      </c>
      <c r="Z8" s="1669" t="s">
        <v>298</v>
      </c>
      <c r="AA8" s="1669" t="s">
        <v>299</v>
      </c>
      <c r="AB8" s="1669" t="s">
        <v>300</v>
      </c>
    </row>
    <row r="9" spans="1:32" ht="45" customHeight="1">
      <c r="A9" s="951"/>
      <c r="B9" s="1101" t="s">
        <v>292</v>
      </c>
      <c r="C9" s="1670" t="s">
        <v>97</v>
      </c>
      <c r="D9" s="1663" t="s">
        <v>207</v>
      </c>
      <c r="E9" s="1671" t="s">
        <v>210</v>
      </c>
      <c r="F9" s="1673" t="s">
        <v>44</v>
      </c>
      <c r="G9" s="1674"/>
      <c r="H9" s="1674"/>
      <c r="I9" s="1674"/>
      <c r="J9" s="1674"/>
      <c r="K9" s="1674"/>
      <c r="L9" s="1675"/>
      <c r="M9" s="68"/>
      <c r="N9" s="83"/>
      <c r="O9" s="66"/>
      <c r="P9" s="66"/>
      <c r="Q9" s="66"/>
      <c r="R9" s="66"/>
      <c r="S9" s="66"/>
      <c r="T9" s="66"/>
      <c r="V9" s="1669"/>
      <c r="W9" s="1669"/>
      <c r="X9" s="1669"/>
      <c r="Y9" s="1669"/>
      <c r="Z9" s="1669"/>
      <c r="AA9" s="1669"/>
      <c r="AB9" s="1669"/>
    </row>
    <row r="10" spans="1:32" ht="69.95" customHeight="1" thickBot="1">
      <c r="A10" s="951"/>
      <c r="B10" s="1102"/>
      <c r="C10" s="1661"/>
      <c r="D10" s="1663"/>
      <c r="E10" s="1672"/>
      <c r="F10" s="75">
        <v>0</v>
      </c>
      <c r="G10" s="75">
        <v>1</v>
      </c>
      <c r="H10" s="75" t="s">
        <v>28</v>
      </c>
      <c r="I10" s="75" t="s">
        <v>29</v>
      </c>
      <c r="J10" s="75" t="s">
        <v>30</v>
      </c>
      <c r="K10" s="76" t="s">
        <v>31</v>
      </c>
      <c r="L10" s="931" t="s">
        <v>246</v>
      </c>
      <c r="M10" s="78"/>
      <c r="N10" s="123"/>
      <c r="O10" s="66"/>
      <c r="P10" s="66"/>
      <c r="Q10" s="66"/>
      <c r="R10" s="66"/>
      <c r="S10" s="66"/>
      <c r="T10" s="66"/>
      <c r="V10" s="1669"/>
      <c r="W10" s="1669"/>
      <c r="X10" s="1669"/>
      <c r="Y10" s="1556"/>
      <c r="Z10" s="1669"/>
      <c r="AA10" s="1669"/>
      <c r="AB10" s="1669"/>
      <c r="AE10" s="1557" t="s">
        <v>95</v>
      </c>
      <c r="AF10" s="1557"/>
    </row>
    <row r="11" spans="1:32" ht="24.95" customHeight="1">
      <c r="A11" s="951"/>
      <c r="B11" s="1103"/>
      <c r="C11" s="79" t="s">
        <v>32</v>
      </c>
      <c r="D11" s="80" t="s">
        <v>32</v>
      </c>
      <c r="E11" s="82" t="s">
        <v>43</v>
      </c>
      <c r="F11" s="80" t="s">
        <v>32</v>
      </c>
      <c r="G11" s="80" t="s">
        <v>32</v>
      </c>
      <c r="H11" s="80" t="s">
        <v>32</v>
      </c>
      <c r="I11" s="80" t="s">
        <v>32</v>
      </c>
      <c r="J11" s="80" t="s">
        <v>32</v>
      </c>
      <c r="K11" s="82" t="s">
        <v>32</v>
      </c>
      <c r="L11" s="81" t="s">
        <v>32</v>
      </c>
      <c r="M11" s="78"/>
      <c r="N11" s="78"/>
      <c r="O11" s="1660" t="s">
        <v>268</v>
      </c>
      <c r="P11" s="1662" t="s">
        <v>267</v>
      </c>
      <c r="Q11" s="1664" t="s">
        <v>293</v>
      </c>
      <c r="R11" s="1665"/>
      <c r="S11" s="1666"/>
      <c r="T11" s="66"/>
      <c r="V11" s="1558" t="s">
        <v>94</v>
      </c>
      <c r="W11" s="1558" t="s">
        <v>94</v>
      </c>
      <c r="X11" s="1558" t="s">
        <v>94</v>
      </c>
      <c r="Y11" s="1558" t="s">
        <v>94</v>
      </c>
      <c r="Z11" s="1558" t="s">
        <v>94</v>
      </c>
      <c r="AA11" s="1558" t="s">
        <v>94</v>
      </c>
      <c r="AB11" s="1558" t="s">
        <v>94</v>
      </c>
      <c r="AE11" s="1557" t="s">
        <v>271</v>
      </c>
    </row>
    <row r="12" spans="1:32" ht="24.95" customHeight="1">
      <c r="A12" s="951"/>
      <c r="B12" s="1104"/>
      <c r="C12" s="171" t="s">
        <v>47</v>
      </c>
      <c r="D12" s="166" t="s">
        <v>47</v>
      </c>
      <c r="E12" s="981" t="s">
        <v>47</v>
      </c>
      <c r="F12" s="167" t="s">
        <v>47</v>
      </c>
      <c r="G12" s="167" t="s">
        <v>47</v>
      </c>
      <c r="H12" s="167" t="s">
        <v>47</v>
      </c>
      <c r="I12" s="167" t="s">
        <v>47</v>
      </c>
      <c r="J12" s="167" t="s">
        <v>47</v>
      </c>
      <c r="K12" s="167" t="s">
        <v>47</v>
      </c>
      <c r="L12" s="172" t="s">
        <v>3</v>
      </c>
      <c r="M12" s="68"/>
      <c r="N12" s="83"/>
      <c r="O12" s="1661"/>
      <c r="P12" s="1663"/>
      <c r="Q12" s="177" t="s">
        <v>80</v>
      </c>
      <c r="R12" s="1658" t="s">
        <v>294</v>
      </c>
      <c r="S12" s="84" t="s">
        <v>99</v>
      </c>
      <c r="T12" s="85"/>
      <c r="AE12" s="1557" t="s">
        <v>98</v>
      </c>
    </row>
    <row r="13" spans="1:32" ht="24.95" customHeight="1" thickBot="1">
      <c r="A13" s="951"/>
      <c r="B13" s="1105"/>
      <c r="C13" s="173" t="s">
        <v>4</v>
      </c>
      <c r="D13" s="174" t="s">
        <v>5</v>
      </c>
      <c r="E13" s="982" t="s">
        <v>6</v>
      </c>
      <c r="F13" s="174" t="s">
        <v>7</v>
      </c>
      <c r="G13" s="174" t="s">
        <v>8</v>
      </c>
      <c r="H13" s="174" t="s">
        <v>9</v>
      </c>
      <c r="I13" s="174" t="s">
        <v>59</v>
      </c>
      <c r="J13" s="174" t="s">
        <v>60</v>
      </c>
      <c r="K13" s="174" t="s">
        <v>61</v>
      </c>
      <c r="L13" s="175" t="s">
        <v>10</v>
      </c>
      <c r="M13" s="68"/>
      <c r="N13" s="83"/>
      <c r="O13" s="168"/>
      <c r="P13" s="169"/>
      <c r="Q13" s="169"/>
      <c r="R13" s="1659"/>
      <c r="S13" s="170"/>
      <c r="T13" s="85"/>
      <c r="AE13" s="1557"/>
    </row>
    <row r="14" spans="1:32" ht="30" customHeight="1">
      <c r="A14" s="951"/>
      <c r="B14" s="1106" t="s">
        <v>33</v>
      </c>
      <c r="C14" s="74"/>
      <c r="D14" s="92"/>
      <c r="E14" s="87"/>
      <c r="F14" s="93"/>
      <c r="G14" s="93"/>
      <c r="H14" s="94"/>
      <c r="I14" s="94"/>
      <c r="J14" s="94"/>
      <c r="K14" s="95"/>
      <c r="L14" s="86"/>
      <c r="M14" s="68"/>
      <c r="N14" s="83"/>
      <c r="O14" s="88"/>
      <c r="P14" s="89"/>
      <c r="Q14" s="89"/>
      <c r="R14" s="90"/>
      <c r="S14" s="91"/>
      <c r="T14" s="85"/>
      <c r="AE14" s="1557" t="s">
        <v>270</v>
      </c>
    </row>
    <row r="15" spans="1:32" ht="24.95" customHeight="1">
      <c r="A15" s="951"/>
      <c r="B15" s="1107" t="s">
        <v>136</v>
      </c>
      <c r="C15" s="74"/>
      <c r="D15" s="92"/>
      <c r="E15" s="87"/>
      <c r="F15" s="93"/>
      <c r="G15" s="93"/>
      <c r="H15" s="94"/>
      <c r="I15" s="94"/>
      <c r="J15" s="94"/>
      <c r="K15" s="95"/>
      <c r="L15" s="86"/>
      <c r="M15" s="68"/>
      <c r="N15" s="83"/>
      <c r="O15" s="96"/>
      <c r="P15" s="97"/>
      <c r="Q15" s="97"/>
      <c r="R15" s="97"/>
      <c r="S15" s="98"/>
      <c r="T15" s="85"/>
      <c r="AE15" s="1557"/>
    </row>
    <row r="16" spans="1:32" ht="24.95" customHeight="1">
      <c r="A16" s="951"/>
      <c r="B16" s="1108" t="s">
        <v>62</v>
      </c>
      <c r="C16" s="99">
        <v>163</v>
      </c>
      <c r="D16" s="100">
        <v>4</v>
      </c>
      <c r="E16" s="1588">
        <v>4</v>
      </c>
      <c r="F16" s="987"/>
      <c r="G16" s="1589">
        <v>163</v>
      </c>
      <c r="H16" s="102"/>
      <c r="I16" s="103"/>
      <c r="J16" s="103"/>
      <c r="K16" s="104"/>
      <c r="L16" s="105">
        <f>G16</f>
        <v>163</v>
      </c>
      <c r="M16" s="988"/>
      <c r="N16" s="106"/>
      <c r="O16" s="107" t="str">
        <f>IF(V16=1,Only_intake_recorded,IF(OR(W16=1,AB16=1),Intake_missing,"OK"))</f>
        <v>OK</v>
      </c>
      <c r="P16" s="108" t="str">
        <f>IF(OR(X16=1,AA16=1),Intake_inconsistent,"OK")</f>
        <v>OK</v>
      </c>
      <c r="Q16" s="742">
        <f>'Table 1 (Main)'!$I$22</f>
        <v>163</v>
      </c>
      <c r="R16" s="752">
        <f>L16-Q16</f>
        <v>0</v>
      </c>
      <c r="S16" s="109" t="str">
        <f>IF(ABS(R16)&gt;0.1,"Does not equal Table 1","OK")</f>
        <v>OK</v>
      </c>
      <c r="T16" s="66"/>
      <c r="V16" s="1559">
        <f>IF(AND(C16&gt;0,L16=0),1,0)</f>
        <v>0</v>
      </c>
      <c r="W16" s="1559">
        <f>IF(AND(C16=0,L16&gt;0),1,0)</f>
        <v>0</v>
      </c>
      <c r="X16" s="1558">
        <f>IF(C16&gt;L16,1,0)</f>
        <v>0</v>
      </c>
      <c r="Y16" s="1558">
        <f>IF(SUM(H16:K16)&gt;0,1,0)</f>
        <v>0</v>
      </c>
      <c r="Z16" s="1558">
        <f>IF(C16=L16,1,0)</f>
        <v>1</v>
      </c>
      <c r="AA16" s="1558">
        <f>Y16*Z16</f>
        <v>0</v>
      </c>
      <c r="AB16" s="1559">
        <f>IF(AND(C16=0,E16&gt;0),1,0)</f>
        <v>0</v>
      </c>
      <c r="AC16" s="1557"/>
    </row>
    <row r="17" spans="1:28" ht="24.95" customHeight="1">
      <c r="A17" s="951"/>
      <c r="B17" s="1108" t="s">
        <v>48</v>
      </c>
      <c r="C17" s="99">
        <v>0.5</v>
      </c>
      <c r="D17" s="100"/>
      <c r="E17" s="1588"/>
      <c r="F17" s="987"/>
      <c r="G17" s="101"/>
      <c r="H17" s="100">
        <v>1.5</v>
      </c>
      <c r="I17" s="103"/>
      <c r="J17" s="103"/>
      <c r="K17" s="104"/>
      <c r="L17" s="105">
        <f>SUM(G17:H17)</f>
        <v>1.5</v>
      </c>
      <c r="M17" s="988"/>
      <c r="N17" s="106"/>
      <c r="O17" s="107" t="str">
        <f>IF(V17=1,Only_intake_recorded,IF(OR(W17=1,AB17=1),Intake_missing,"OK"))</f>
        <v>OK</v>
      </c>
      <c r="P17" s="108" t="str">
        <f>IF(OR(X17=1,AA17=1),Intake_inconsistent,"OK")</f>
        <v>OK</v>
      </c>
      <c r="Q17" s="742">
        <f>'Table 1 (Main)'!$L$22</f>
        <v>1.5</v>
      </c>
      <c r="R17" s="752">
        <f>L17-Q17</f>
        <v>0</v>
      </c>
      <c r="S17" s="109" t="str">
        <f>IF(ABS(R17)&gt;0.1,"Does not equal Table 1","OK")</f>
        <v>OK</v>
      </c>
      <c r="T17" s="66"/>
      <c r="V17" s="1559">
        <f>IF(AND(C17&gt;0,L17=0),1,0)</f>
        <v>0</v>
      </c>
      <c r="W17" s="1559">
        <f>IF(AND(C17=0,L17&gt;0),1,0)</f>
        <v>0</v>
      </c>
      <c r="X17" s="1558">
        <f>IF(C17&gt;L17,1,0)</f>
        <v>0</v>
      </c>
      <c r="Y17" s="1558">
        <f>IF(SUM(H17:K17)&gt;0,1,0)</f>
        <v>1</v>
      </c>
      <c r="Z17" s="1558">
        <f>IF(C17=L17,1,0)</f>
        <v>0</v>
      </c>
      <c r="AA17" s="1558">
        <f>Y17*Z17</f>
        <v>0</v>
      </c>
      <c r="AB17" s="1559">
        <f>IF(AND(C17=0,E17&gt;0),1,0)</f>
        <v>0</v>
      </c>
    </row>
    <row r="18" spans="1:28" ht="24.95" customHeight="1">
      <c r="A18" s="951"/>
      <c r="B18" s="1109" t="s">
        <v>2</v>
      </c>
      <c r="C18" s="110">
        <f>SUM(C16:C17)</f>
        <v>163.5</v>
      </c>
      <c r="D18" s="111">
        <f>SUM(D16:D17)</f>
        <v>4</v>
      </c>
      <c r="E18" s="983">
        <f>SUM(E16:E17)</f>
        <v>4</v>
      </c>
      <c r="F18" s="989"/>
      <c r="G18" s="112">
        <f>SUM(G16:G17)</f>
        <v>163</v>
      </c>
      <c r="H18" s="111">
        <f>H17</f>
        <v>1.5</v>
      </c>
      <c r="I18" s="103"/>
      <c r="J18" s="103"/>
      <c r="K18" s="104"/>
      <c r="L18" s="105">
        <f>SUM(G18:H18)</f>
        <v>164.5</v>
      </c>
      <c r="M18" s="988"/>
      <c r="N18" s="106"/>
      <c r="O18" s="113"/>
      <c r="P18" s="114"/>
      <c r="Q18" s="751"/>
      <c r="R18" s="115"/>
      <c r="S18" s="116"/>
      <c r="T18" s="66"/>
      <c r="V18" s="1558"/>
      <c r="W18" s="1558"/>
      <c r="X18" s="1558"/>
      <c r="Y18" s="1558"/>
      <c r="Z18" s="1558"/>
      <c r="AA18" s="1558"/>
      <c r="AB18" s="1558"/>
    </row>
    <row r="19" spans="1:28" ht="9.9499999999999993" customHeight="1">
      <c r="A19" s="951"/>
      <c r="B19" s="1110"/>
      <c r="C19" s="117"/>
      <c r="D19" s="118"/>
      <c r="E19" s="120"/>
      <c r="F19" s="121"/>
      <c r="G19" s="121"/>
      <c r="H19" s="118"/>
      <c r="I19" s="118"/>
      <c r="J19" s="118"/>
      <c r="K19" s="122"/>
      <c r="L19" s="119"/>
      <c r="M19" s="78"/>
      <c r="N19" s="123"/>
      <c r="O19" s="153"/>
      <c r="P19" s="739"/>
      <c r="Q19" s="739"/>
      <c r="R19" s="740"/>
      <c r="S19" s="741"/>
      <c r="T19" s="66"/>
      <c r="V19" s="1558"/>
      <c r="W19" s="1558"/>
      <c r="X19" s="1558"/>
      <c r="Y19" s="1558"/>
      <c r="Z19" s="1558"/>
      <c r="AA19" s="1558"/>
      <c r="AB19" s="1558"/>
    </row>
    <row r="20" spans="1:28" ht="30" customHeight="1" thickBot="1">
      <c r="A20" s="951"/>
      <c r="B20" s="1107" t="s">
        <v>118</v>
      </c>
      <c r="C20" s="124">
        <v>132</v>
      </c>
      <c r="D20" s="125">
        <v>2</v>
      </c>
      <c r="E20" s="126"/>
      <c r="F20" s="127"/>
      <c r="G20" s="127">
        <v>127</v>
      </c>
      <c r="H20" s="125">
        <v>168</v>
      </c>
      <c r="I20" s="125">
        <v>144</v>
      </c>
      <c r="J20" s="125">
        <v>130.6</v>
      </c>
      <c r="K20" s="128"/>
      <c r="L20" s="129">
        <f>SUM(F20:J20)</f>
        <v>569.6</v>
      </c>
      <c r="M20" s="988"/>
      <c r="N20" s="106"/>
      <c r="O20" s="107" t="str">
        <f>IF(V20=1,Only_intake_recorded,IF(OR(W20=1,AB20=1),Intake_missing,"OK"))</f>
        <v>OK</v>
      </c>
      <c r="P20" s="108" t="str">
        <f>IF(OR(X20=1,AA20=1),Intake_inconsistent,"OK")</f>
        <v>OK</v>
      </c>
      <c r="Q20" s="742">
        <f>'Table 1 (Main)'!$O$34</f>
        <v>569.6</v>
      </c>
      <c r="R20" s="752">
        <f>L20-Q20</f>
        <v>0</v>
      </c>
      <c r="S20" s="109" t="str">
        <f>IF(ABS(R20)&gt;0.1,"Does not equal Table 1","OK")</f>
        <v>OK</v>
      </c>
      <c r="T20" s="66"/>
      <c r="V20" s="1559">
        <f>IF(AND(C20&gt;0,L20=0),1,0)</f>
        <v>0</v>
      </c>
      <c r="W20" s="1559">
        <f>IF(AND(C20=0,L20&gt;0),1,0)</f>
        <v>0</v>
      </c>
      <c r="X20" s="1558">
        <f>IF(C20&gt;L20,1,0)</f>
        <v>0</v>
      </c>
      <c r="Y20" s="1558">
        <f>IF(SUM(H20:K20)&gt;0,1,0)</f>
        <v>1</v>
      </c>
      <c r="Z20" s="1558">
        <f>IF(C20=L20,1,0)</f>
        <v>0</v>
      </c>
      <c r="AA20" s="1558">
        <f>Y20*Z20</f>
        <v>0</v>
      </c>
      <c r="AB20" s="1559">
        <f>IF(AND(C20=0,E20&gt;0),1,0)</f>
        <v>0</v>
      </c>
    </row>
    <row r="21" spans="1:28" ht="30" customHeight="1">
      <c r="A21" s="951"/>
      <c r="B21" s="1111" t="s">
        <v>34</v>
      </c>
      <c r="C21" s="130"/>
      <c r="D21" s="131"/>
      <c r="E21" s="133"/>
      <c r="F21" s="134"/>
      <c r="G21" s="134"/>
      <c r="H21" s="131"/>
      <c r="I21" s="131"/>
      <c r="J21" s="131"/>
      <c r="K21" s="135"/>
      <c r="L21" s="132"/>
      <c r="M21" s="68"/>
      <c r="N21" s="83"/>
      <c r="O21" s="743"/>
      <c r="P21" s="744"/>
      <c r="Q21" s="744"/>
      <c r="R21" s="745"/>
      <c r="S21" s="746"/>
      <c r="T21" s="66"/>
      <c r="V21" s="1558"/>
      <c r="W21" s="1558"/>
      <c r="X21" s="1558"/>
      <c r="Y21" s="1558"/>
      <c r="Z21" s="1558"/>
      <c r="AA21" s="1558"/>
      <c r="AB21" s="1558"/>
    </row>
    <row r="22" spans="1:28" ht="24.95" customHeight="1">
      <c r="A22" s="951"/>
      <c r="B22" s="1107" t="s">
        <v>137</v>
      </c>
      <c r="C22" s="117"/>
      <c r="D22" s="118"/>
      <c r="E22" s="120"/>
      <c r="F22" s="121"/>
      <c r="G22" s="121"/>
      <c r="H22" s="118"/>
      <c r="I22" s="118"/>
      <c r="J22" s="118"/>
      <c r="K22" s="122"/>
      <c r="L22" s="119"/>
      <c r="M22" s="68"/>
      <c r="N22" s="83"/>
      <c r="O22" s="747"/>
      <c r="P22" s="748"/>
      <c r="Q22" s="748"/>
      <c r="R22" s="749"/>
      <c r="S22" s="750"/>
      <c r="T22" s="66"/>
      <c r="V22" s="1558"/>
      <c r="W22" s="1558"/>
      <c r="X22" s="1558"/>
      <c r="Y22" s="1558"/>
      <c r="Z22" s="1558"/>
      <c r="AA22" s="1558"/>
      <c r="AB22" s="1558"/>
    </row>
    <row r="23" spans="1:28" ht="24.95" customHeight="1">
      <c r="A23" s="951"/>
      <c r="B23" s="1108" t="s">
        <v>62</v>
      </c>
      <c r="C23" s="99">
        <v>157</v>
      </c>
      <c r="D23" s="100">
        <v>6</v>
      </c>
      <c r="E23" s="140"/>
      <c r="F23" s="987"/>
      <c r="G23" s="1589">
        <v>157</v>
      </c>
      <c r="H23" s="103"/>
      <c r="I23" s="103"/>
      <c r="J23" s="103"/>
      <c r="K23" s="136"/>
      <c r="L23" s="105">
        <f>SUM(G23)</f>
        <v>157</v>
      </c>
      <c r="M23" s="988"/>
      <c r="N23" s="106"/>
      <c r="O23" s="107" t="str">
        <f>IF(V23=1,Only_intake_recorded,IF(OR(W23=1,AB23=1),Intake_missing,"OK"))</f>
        <v>OK</v>
      </c>
      <c r="P23" s="108" t="str">
        <f>IF(OR(X23=1,AA23=1),Intake_inconsistent,"OK")</f>
        <v>OK</v>
      </c>
      <c r="Q23" s="742">
        <f>'Table 1 (Main)'!$I$23</f>
        <v>157</v>
      </c>
      <c r="R23" s="752">
        <f t="shared" ref="R23:R24" si="0">L23-Q23</f>
        <v>0</v>
      </c>
      <c r="S23" s="109" t="str">
        <f>IF(ABS(R23)&gt;0.1,"Does not equal Table 1","OK")</f>
        <v>OK</v>
      </c>
      <c r="T23" s="66"/>
      <c r="V23" s="1559">
        <f>IF(AND(C23&gt;0,L23=0),1,0)</f>
        <v>0</v>
      </c>
      <c r="W23" s="1559">
        <f>IF(AND(C23=0,L23&gt;0),1,0)</f>
        <v>0</v>
      </c>
      <c r="X23" s="1558">
        <f>IF(C23&gt;L23,1,0)</f>
        <v>0</v>
      </c>
      <c r="Y23" s="1558">
        <f>IF(SUM(H23:K23)&gt;0,1,0)</f>
        <v>0</v>
      </c>
      <c r="Z23" s="1558">
        <f>IF(C23=L23,1,0)</f>
        <v>1</v>
      </c>
      <c r="AA23" s="1558">
        <f>Y23*Z23</f>
        <v>0</v>
      </c>
      <c r="AB23" s="1559">
        <f>IF(AND(C23=0,E23&gt;0),1,0)</f>
        <v>0</v>
      </c>
    </row>
    <row r="24" spans="1:28" ht="24.95" customHeight="1">
      <c r="A24" s="951"/>
      <c r="B24" s="1108" t="s">
        <v>48</v>
      </c>
      <c r="C24" s="99"/>
      <c r="D24" s="100"/>
      <c r="E24" s="140"/>
      <c r="F24" s="987"/>
      <c r="G24" s="101"/>
      <c r="H24" s="100"/>
      <c r="I24" s="103"/>
      <c r="J24" s="103"/>
      <c r="K24" s="136"/>
      <c r="L24" s="105">
        <f>SUM(G24:H24)</f>
        <v>0</v>
      </c>
      <c r="M24" s="988"/>
      <c r="N24" s="106"/>
      <c r="O24" s="137" t="str">
        <f>IF(V24=1,Only_intake_recorded,IF(OR(W24=1,AB24=1),Intake_missing,"OK"))</f>
        <v>OK</v>
      </c>
      <c r="P24" s="138" t="str">
        <f>IF(OR(X24=1,AA24=1),Intake_inconsistent,"OK")</f>
        <v>OK</v>
      </c>
      <c r="Q24" s="742">
        <f>'Table 1 (Main)'!$L$23</f>
        <v>0</v>
      </c>
      <c r="R24" s="752">
        <f t="shared" si="0"/>
        <v>0</v>
      </c>
      <c r="S24" s="139" t="str">
        <f>IF(ABS(R24)&gt;0.1,"Does not equal Table 1","OK")</f>
        <v>OK</v>
      </c>
      <c r="T24" s="66"/>
      <c r="V24" s="1559">
        <f>IF(AND(C24&gt;0,L24=0),1,0)</f>
        <v>0</v>
      </c>
      <c r="W24" s="1559">
        <f>IF(AND(C24=0,L24&gt;0),1,0)</f>
        <v>0</v>
      </c>
      <c r="X24" s="1558">
        <f>IF(C24&gt;L24,1,0)</f>
        <v>0</v>
      </c>
      <c r="Y24" s="1558">
        <f>IF(SUM(H24:K24)&gt;0,1,0)</f>
        <v>0</v>
      </c>
      <c r="Z24" s="1558">
        <f>IF(C24=L24,1,0)</f>
        <v>1</v>
      </c>
      <c r="AA24" s="1558">
        <f>Y24*Z24</f>
        <v>0</v>
      </c>
      <c r="AB24" s="1559">
        <f>IF(AND(C24=0,E24&gt;0),1,0)</f>
        <v>0</v>
      </c>
    </row>
    <row r="25" spans="1:28" ht="24.95" customHeight="1">
      <c r="A25" s="951"/>
      <c r="B25" s="1109" t="s">
        <v>2</v>
      </c>
      <c r="C25" s="110">
        <f>SUM(C23:C24)</f>
        <v>157</v>
      </c>
      <c r="D25" s="111">
        <f>SUM(D23:D24)</f>
        <v>6</v>
      </c>
      <c r="E25" s="983">
        <f>SUM(E23:E24)</f>
        <v>0</v>
      </c>
      <c r="F25" s="989"/>
      <c r="G25" s="112">
        <f>SUM(G23:G24)</f>
        <v>157</v>
      </c>
      <c r="H25" s="111">
        <f>SUM(H23:H24)</f>
        <v>0</v>
      </c>
      <c r="I25" s="103"/>
      <c r="J25" s="103"/>
      <c r="K25" s="136"/>
      <c r="L25" s="105">
        <f>SUM(G25:H25)</f>
        <v>157</v>
      </c>
      <c r="M25" s="988"/>
      <c r="N25" s="106"/>
      <c r="O25" s="736"/>
      <c r="P25" s="737"/>
      <c r="Q25" s="737"/>
      <c r="R25" s="737"/>
      <c r="S25" s="738"/>
      <c r="T25" s="56"/>
      <c r="V25" s="1558"/>
      <c r="W25" s="1558"/>
      <c r="X25" s="1558"/>
      <c r="Y25" s="1558"/>
      <c r="Z25" s="1558"/>
      <c r="AA25" s="1558"/>
      <c r="AB25" s="1558"/>
    </row>
    <row r="26" spans="1:28" ht="9.9499999999999993" customHeight="1">
      <c r="A26" s="951"/>
      <c r="B26" s="1109"/>
      <c r="C26" s="110"/>
      <c r="D26" s="111"/>
      <c r="E26" s="984"/>
      <c r="F26" s="989"/>
      <c r="G26" s="112"/>
      <c r="H26" s="111"/>
      <c r="I26" s="103"/>
      <c r="J26" s="103"/>
      <c r="K26" s="136"/>
      <c r="L26" s="105"/>
      <c r="M26" s="988"/>
      <c r="N26" s="106"/>
      <c r="O26" s="57"/>
      <c r="P26" s="58"/>
      <c r="Q26" s="58"/>
      <c r="R26" s="58"/>
      <c r="S26" s="59"/>
      <c r="T26" s="56"/>
      <c r="V26" s="1558"/>
      <c r="W26" s="1558"/>
      <c r="X26" s="1558"/>
      <c r="Y26" s="1558"/>
      <c r="Z26" s="1558"/>
      <c r="AA26" s="1558"/>
      <c r="AB26" s="1558"/>
    </row>
    <row r="27" spans="1:28" ht="30" customHeight="1">
      <c r="A27" s="951"/>
      <c r="B27" s="1107" t="s">
        <v>35</v>
      </c>
      <c r="C27" s="99"/>
      <c r="D27" s="100"/>
      <c r="E27" s="985"/>
      <c r="F27" s="101"/>
      <c r="G27" s="101"/>
      <c r="H27" s="100"/>
      <c r="I27" s="100"/>
      <c r="J27" s="100"/>
      <c r="K27" s="136"/>
      <c r="L27" s="105">
        <f>SUM(F27:J27)</f>
        <v>0</v>
      </c>
      <c r="M27" s="988"/>
      <c r="N27" s="106"/>
      <c r="O27" s="141" t="str">
        <f>IF(V27=1,Only_intake_recorded,IF(OR(W27=1,AB27=1),Intake_missing,"OK"))</f>
        <v>OK</v>
      </c>
      <c r="P27" s="142" t="str">
        <f>IF(OR(X27=1,AA27=1),Intake_inconsistent,"OK")</f>
        <v>OK</v>
      </c>
      <c r="Q27" s="742">
        <f>'Table 1 (Main)'!$O$35</f>
        <v>0</v>
      </c>
      <c r="R27" s="752">
        <f t="shared" ref="R27:R29" si="1">L27-Q27</f>
        <v>0</v>
      </c>
      <c r="S27" s="143" t="str">
        <f>IF(ABS(R27)&gt;0.1,"Does not equal Table 1","OK")</f>
        <v>OK</v>
      </c>
      <c r="T27" s="66"/>
      <c r="V27" s="1559">
        <f>IF(AND(C27&gt;0,L27=0),1,0)</f>
        <v>0</v>
      </c>
      <c r="W27" s="1559">
        <f>IF(AND(C27=0,L27&gt;0),1,0)</f>
        <v>0</v>
      </c>
      <c r="X27" s="1558">
        <f>IF(C27&gt;L27,1,0)</f>
        <v>0</v>
      </c>
      <c r="Y27" s="1558">
        <f>IF(SUM(H27:K27)&gt;0,1,0)</f>
        <v>0</v>
      </c>
      <c r="Z27" s="1558">
        <f>IF(C27=L27,1,0)</f>
        <v>1</v>
      </c>
      <c r="AA27" s="1558">
        <f>Y27*Z27</f>
        <v>0</v>
      </c>
      <c r="AB27" s="1559"/>
    </row>
    <row r="28" spans="1:28" ht="30" customHeight="1">
      <c r="A28" s="951"/>
      <c r="B28" s="1107" t="s">
        <v>36</v>
      </c>
      <c r="C28" s="99"/>
      <c r="D28" s="100"/>
      <c r="E28" s="121"/>
      <c r="F28" s="101"/>
      <c r="G28" s="101"/>
      <c r="H28" s="100"/>
      <c r="I28" s="100"/>
      <c r="J28" s="100"/>
      <c r="K28" s="136"/>
      <c r="L28" s="105">
        <f>SUM(F28:J28)</f>
        <v>0</v>
      </c>
      <c r="M28" s="988"/>
      <c r="N28" s="106"/>
      <c r="O28" s="145" t="str">
        <f>IF(V28=1,Only_intake_recorded,IF(OR(W28=1,AB28=1),Intake_missing,"OK"))</f>
        <v>OK</v>
      </c>
      <c r="P28" s="146" t="str">
        <f>IF(OR(X28=1,AA28=1),Intake_inconsistent,"OK")</f>
        <v>OK</v>
      </c>
      <c r="Q28" s="742">
        <f>'Table 1 (Main)'!$O$36</f>
        <v>0</v>
      </c>
      <c r="R28" s="752">
        <f t="shared" si="1"/>
        <v>0</v>
      </c>
      <c r="S28" s="147" t="str">
        <f>IF(ABS(R28)&gt;0.1,"Does not equal Table 1","OK")</f>
        <v>OK</v>
      </c>
      <c r="T28" s="66"/>
      <c r="V28" s="1559">
        <f>IF(AND(C28&gt;0,L28=0),1,0)</f>
        <v>0</v>
      </c>
      <c r="W28" s="1559">
        <f>IF(AND(C28=0,L28&gt;0),1,0)</f>
        <v>0</v>
      </c>
      <c r="X28" s="1558">
        <f>IF(C28&gt;L28,1,0)</f>
        <v>0</v>
      </c>
      <c r="Y28" s="1558">
        <f>IF(SUM(H28:K28)&gt;0,1,0)</f>
        <v>0</v>
      </c>
      <c r="Z28" s="1558">
        <f>IF(C28=L28,1,0)</f>
        <v>1</v>
      </c>
      <c r="AA28" s="1558">
        <f>Y28*Z28</f>
        <v>0</v>
      </c>
      <c r="AB28" s="1559"/>
    </row>
    <row r="29" spans="1:28" ht="30" customHeight="1">
      <c r="A29" s="951"/>
      <c r="B29" s="1107" t="s">
        <v>37</v>
      </c>
      <c r="C29" s="99">
        <v>25</v>
      </c>
      <c r="D29" s="100"/>
      <c r="E29" s="152"/>
      <c r="F29" s="101"/>
      <c r="G29" s="1589">
        <v>24</v>
      </c>
      <c r="H29" s="100">
        <v>22</v>
      </c>
      <c r="I29" s="100">
        <v>24</v>
      </c>
      <c r="J29" s="100">
        <v>26.6</v>
      </c>
      <c r="K29" s="136"/>
      <c r="L29" s="105">
        <f>SUM(F29:J29)</f>
        <v>96.6</v>
      </c>
      <c r="M29" s="988"/>
      <c r="N29" s="106"/>
      <c r="O29" s="145" t="str">
        <f>IF(V29=1,Only_intake_recorded,IF(OR(W29=1,AB29=1),Intake_missing,"OK"))</f>
        <v>OK</v>
      </c>
      <c r="P29" s="146" t="str">
        <f>IF(OR(X29=1,AA29=1),Intake_inconsistent,"OK")</f>
        <v>OK</v>
      </c>
      <c r="Q29" s="742">
        <f>'Table 1 (Main)'!$O$37</f>
        <v>96.6</v>
      </c>
      <c r="R29" s="752">
        <f t="shared" si="1"/>
        <v>0</v>
      </c>
      <c r="S29" s="147" t="str">
        <f>IF(ABS(R29)&gt;0.1,"Does not equal Table 1","OK")</f>
        <v>OK</v>
      </c>
      <c r="T29" s="66"/>
      <c r="V29" s="1559">
        <f>IF(AND(C29&gt;0,L29=0),1,0)</f>
        <v>0</v>
      </c>
      <c r="W29" s="1559">
        <f>IF(AND(C29=0,L29&gt;0),1,0)</f>
        <v>0</v>
      </c>
      <c r="X29" s="1558">
        <f>IF(C29&gt;L29,1,0)</f>
        <v>0</v>
      </c>
      <c r="Y29" s="1558">
        <f>IF(SUM(H29:K29)&gt;0,1,0)</f>
        <v>1</v>
      </c>
      <c r="Z29" s="1558">
        <f>IF(C29=L29,1,0)</f>
        <v>0</v>
      </c>
      <c r="AA29" s="1558">
        <f>Y29*Z29</f>
        <v>0</v>
      </c>
      <c r="AB29" s="1559"/>
    </row>
    <row r="30" spans="1:28" ht="9.9499999999999993" customHeight="1">
      <c r="A30" s="951"/>
      <c r="B30" s="1102"/>
      <c r="C30" s="148"/>
      <c r="D30" s="149"/>
      <c r="E30" s="151"/>
      <c r="F30" s="152"/>
      <c r="G30" s="152"/>
      <c r="H30" s="149"/>
      <c r="I30" s="149"/>
      <c r="J30" s="149"/>
      <c r="K30" s="122"/>
      <c r="L30" s="150"/>
      <c r="M30" s="68"/>
      <c r="N30" s="83"/>
      <c r="O30" s="153"/>
      <c r="P30" s="154"/>
      <c r="Q30" s="176"/>
      <c r="R30" s="155"/>
      <c r="S30" s="156"/>
      <c r="T30" s="66"/>
      <c r="V30" s="1558"/>
      <c r="W30" s="1558"/>
      <c r="X30" s="1558"/>
      <c r="Y30" s="1558"/>
      <c r="Z30" s="1558"/>
      <c r="AA30" s="1558"/>
      <c r="AB30" s="1558"/>
    </row>
    <row r="31" spans="1:28" ht="30" customHeight="1" thickBot="1">
      <c r="A31" s="951"/>
      <c r="B31" s="1112" t="s">
        <v>38</v>
      </c>
      <c r="C31" s="124">
        <v>73</v>
      </c>
      <c r="D31" s="125">
        <v>4</v>
      </c>
      <c r="E31" s="126"/>
      <c r="F31" s="127"/>
      <c r="G31" s="127">
        <v>73</v>
      </c>
      <c r="H31" s="125">
        <v>37</v>
      </c>
      <c r="I31" s="125">
        <v>44</v>
      </c>
      <c r="J31" s="125">
        <v>42.8</v>
      </c>
      <c r="K31" s="157">
        <v>0.8</v>
      </c>
      <c r="L31" s="129">
        <f>SUM(F31:K31)</f>
        <v>197.60000000000002</v>
      </c>
      <c r="M31" s="988"/>
      <c r="N31" s="106"/>
      <c r="O31" s="158" t="str">
        <f>IF(V31=1,Only_intake_recorded,IF(OR(W31=1,AB31=1),Intake_missing,"OK"))</f>
        <v>OK</v>
      </c>
      <c r="P31" s="159" t="str">
        <f>IF(OR(X31=1,AA31=1),Intake_inconsistent,"OK")</f>
        <v>OK</v>
      </c>
      <c r="Q31" s="159"/>
      <c r="R31" s="160"/>
      <c r="S31" s="161"/>
      <c r="T31" s="66"/>
      <c r="V31" s="1559">
        <f>IF(AND(C31&gt;0,L31=0),1,0)</f>
        <v>0</v>
      </c>
      <c r="W31" s="1559">
        <f>IF(AND(C31=0,L31&gt;0),1,0)</f>
        <v>0</v>
      </c>
      <c r="X31" s="1558">
        <f>IF(C31&gt;L31,1,0)</f>
        <v>0</v>
      </c>
      <c r="Y31" s="1558">
        <f>IF(SUM(H31:K31)&gt;0,1,0)</f>
        <v>1</v>
      </c>
      <c r="Z31" s="1558">
        <f>IF(C31=L31,1,0)</f>
        <v>0</v>
      </c>
      <c r="AA31" s="1558">
        <f>Y31*Z31</f>
        <v>0</v>
      </c>
      <c r="AB31" s="1559">
        <f>IF(AND(C31=0,E31&gt;0),1,0)</f>
        <v>0</v>
      </c>
    </row>
    <row r="32" spans="1:28" ht="30" customHeight="1">
      <c r="A32" s="951"/>
      <c r="B32" s="1113" t="s">
        <v>81</v>
      </c>
      <c r="C32" s="162"/>
      <c r="D32" s="162"/>
      <c r="E32" s="994"/>
      <c r="F32" s="123"/>
      <c r="G32" s="123"/>
      <c r="H32" s="123"/>
      <c r="I32" s="123"/>
      <c r="J32" s="123"/>
      <c r="K32" s="123"/>
      <c r="L32" s="123"/>
      <c r="M32" s="78"/>
      <c r="N32" s="123"/>
      <c r="O32" s="163"/>
      <c r="P32" s="66"/>
      <c r="Q32" s="66"/>
      <c r="R32" s="66"/>
      <c r="S32" s="66"/>
      <c r="T32" s="66"/>
      <c r="U32" s="1558"/>
      <c r="V32" s="1558"/>
      <c r="W32" s="1558"/>
      <c r="X32" s="1558"/>
      <c r="Y32" s="1558"/>
      <c r="Z32" s="1558"/>
      <c r="AA32" s="1558"/>
      <c r="AB32" s="1558"/>
    </row>
    <row r="33" spans="1:20" ht="20.100000000000001" customHeight="1">
      <c r="A33" s="977"/>
      <c r="B33" s="229"/>
      <c r="C33" s="164"/>
      <c r="D33" s="164"/>
      <c r="E33" s="164"/>
      <c r="F33" s="164"/>
      <c r="G33" s="164"/>
      <c r="H33" s="164"/>
      <c r="I33" s="164"/>
      <c r="J33" s="164"/>
      <c r="K33" s="164"/>
      <c r="L33" s="164"/>
      <c r="M33" s="990"/>
      <c r="N33" s="123"/>
      <c r="O33" s="163"/>
      <c r="P33" s="66"/>
      <c r="Q33" s="66"/>
      <c r="R33" s="66"/>
      <c r="S33" s="66"/>
      <c r="T33" s="66"/>
    </row>
    <row r="34" spans="1:20" ht="12.75" customHeight="1">
      <c r="B34" s="1554"/>
      <c r="C34" s="1560"/>
      <c r="D34" s="1560"/>
      <c r="E34" s="1560"/>
      <c r="F34" s="1560"/>
      <c r="G34" s="1560"/>
      <c r="H34" s="1560"/>
      <c r="I34" s="1560"/>
      <c r="J34" s="1560"/>
      <c r="K34" s="1560"/>
      <c r="L34" s="1560"/>
      <c r="M34" s="1560"/>
      <c r="N34" s="1560"/>
      <c r="O34" s="1560"/>
    </row>
    <row r="35" spans="1:20">
      <c r="C35" s="1560"/>
      <c r="D35" s="1560"/>
      <c r="E35" s="1560"/>
      <c r="F35" s="1560"/>
      <c r="G35" s="1560"/>
      <c r="H35" s="1560"/>
      <c r="I35" s="1560"/>
      <c r="J35" s="1560"/>
      <c r="K35" s="1560"/>
      <c r="L35" s="1560"/>
      <c r="M35" s="1560"/>
      <c r="N35" s="1560"/>
      <c r="O35" s="1560"/>
    </row>
    <row r="36" spans="1:20">
      <c r="C36" s="1560"/>
      <c r="D36" s="1560"/>
      <c r="E36" s="1560"/>
      <c r="F36" s="1560"/>
      <c r="G36" s="1560"/>
      <c r="H36" s="1560"/>
      <c r="I36" s="1560"/>
      <c r="J36" s="1560"/>
      <c r="K36" s="1560"/>
      <c r="L36" s="1560"/>
      <c r="M36" s="1560"/>
      <c r="N36" s="1560"/>
      <c r="O36" s="1560"/>
    </row>
    <row r="37" spans="1:20">
      <c r="C37" s="1560"/>
      <c r="D37" s="1560"/>
      <c r="E37" s="1560"/>
      <c r="F37" s="1560"/>
      <c r="G37" s="1560"/>
      <c r="H37" s="1560"/>
      <c r="I37" s="1560"/>
      <c r="J37" s="1560"/>
      <c r="K37" s="1560"/>
      <c r="L37" s="1560"/>
      <c r="M37" s="1560"/>
      <c r="N37" s="1560"/>
      <c r="O37" s="1560"/>
    </row>
  </sheetData>
  <sheetProtection password="E23E" sheet="1" objects="1" scenarios="1"/>
  <mergeCells count="18">
    <mergeCell ref="Z8:Z10"/>
    <mergeCell ref="AA8:AA10"/>
    <mergeCell ref="AB8:AB10"/>
    <mergeCell ref="C9:C10"/>
    <mergeCell ref="D9:D10"/>
    <mergeCell ref="E9:E10"/>
    <mergeCell ref="F9:L9"/>
    <mergeCell ref="X8:X10"/>
    <mergeCell ref="C8:E8"/>
    <mergeCell ref="F8:L8"/>
    <mergeCell ref="V8:V10"/>
    <mergeCell ref="W8:W10"/>
    <mergeCell ref="Y8:Y9"/>
    <mergeCell ref="R12:R13"/>
    <mergeCell ref="O11:O12"/>
    <mergeCell ref="P11:P12"/>
    <mergeCell ref="Q11:S11"/>
    <mergeCell ref="C4:E4"/>
  </mergeCells>
  <conditionalFormatting sqref="A1:T1">
    <cfRule type="expression" dxfId="144" priority="78" stopIfTrue="1">
      <formula>$F$4=0</formula>
    </cfRule>
  </conditionalFormatting>
  <conditionalFormatting sqref="G17 C24:E24 G24:H24 C27:D28 F27:J28 E23 D29 F29">
    <cfRule type="expression" dxfId="143" priority="79" stopIfTrue="1">
      <formula>$F$4=0</formula>
    </cfRule>
  </conditionalFormatting>
  <conditionalFormatting sqref="O31:S31 O16:S17 O20:S20 O23:S24 O27:S29">
    <cfRule type="expression" dxfId="142" priority="89" stopIfTrue="1">
      <formula>$F$4=0</formula>
    </cfRule>
  </conditionalFormatting>
  <conditionalFormatting sqref="C16:E17">
    <cfRule type="expression" dxfId="141" priority="9" stopIfTrue="1">
      <formula>$F$4=0</formula>
    </cfRule>
  </conditionalFormatting>
  <conditionalFormatting sqref="G16">
    <cfRule type="expression" dxfId="140" priority="8" stopIfTrue="1">
      <formula>$F$4=0</formula>
    </cfRule>
  </conditionalFormatting>
  <conditionalFormatting sqref="H17">
    <cfRule type="expression" dxfId="139" priority="7" stopIfTrue="1">
      <formula>$F$4=0</formula>
    </cfRule>
  </conditionalFormatting>
  <conditionalFormatting sqref="C20:J20">
    <cfRule type="expression" dxfId="138" priority="6" stopIfTrue="1">
      <formula>$F$4=0</formula>
    </cfRule>
  </conditionalFormatting>
  <conditionalFormatting sqref="C23:D23">
    <cfRule type="expression" dxfId="137" priority="5" stopIfTrue="1">
      <formula>$F$4=0</formula>
    </cfRule>
  </conditionalFormatting>
  <conditionalFormatting sqref="G23">
    <cfRule type="expression" dxfId="136" priority="4" stopIfTrue="1">
      <formula>$F$4=0</formula>
    </cfRule>
  </conditionalFormatting>
  <conditionalFormatting sqref="C29">
    <cfRule type="expression" dxfId="135" priority="3" stopIfTrue="1">
      <formula>$F$4=0</formula>
    </cfRule>
  </conditionalFormatting>
  <conditionalFormatting sqref="G29:J29">
    <cfRule type="expression" dxfId="134" priority="2" stopIfTrue="1">
      <formula>$F$4=0</formula>
    </cfRule>
  </conditionalFormatting>
  <conditionalFormatting sqref="C31:K31">
    <cfRule type="expression" dxfId="133" priority="1" stopIfTrue="1">
      <formula>$F$4=0</formula>
    </cfRule>
  </conditionalFormatting>
  <dataValidations count="1">
    <dataValidation type="custom" allowBlank="1" showErrorMessage="1" errorTitle="Number less than 0" error="You are trying to enter a number which is less than 0, please re-enter a valid number." sqref="C16:E17 C31:K31 F27:J29 C27:D29 G16:G17 H24 G23:G24 C23:E24 C20:J20 H17">
      <formula1>C16&gt;=0</formula1>
    </dataValidation>
  </dataValidations>
  <printOptions horizontalCentered="1" verticalCentered="1"/>
  <pageMargins left="0.19685039370078741" right="0.19685039370078741" top="0.19685039370078741" bottom="0.15748031496062992" header="0.15748031496062992" footer="0.15748031496062992"/>
  <pageSetup paperSize="9" scale="6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3"/>
  <sheetViews>
    <sheetView zoomScale="80" zoomScaleNormal="80" workbookViewId="0"/>
  </sheetViews>
  <sheetFormatPr defaultRowHeight="15"/>
  <cols>
    <col min="1" max="1" width="2.7109375" style="1547" customWidth="1"/>
    <col min="2" max="2" width="43.140625" style="1547" customWidth="1"/>
    <col min="3" max="16" width="10.7109375" style="1547" customWidth="1"/>
    <col min="17" max="18" width="2.7109375" style="1547" customWidth="1"/>
    <col min="19" max="25" width="15.7109375" style="1547" customWidth="1"/>
    <col min="26" max="26" width="4" style="1547" customWidth="1"/>
    <col min="27" max="16384" width="9.140625" style="1547"/>
  </cols>
  <sheetData>
    <row r="1" spans="1:26" ht="39.950000000000003" customHeight="1">
      <c r="A1" s="580"/>
      <c r="B1" s="630" t="str">
        <f>IF(G4=0,"Your Institution Does Not Complete This Table","")</f>
        <v>Your Institution Does Not Complete This Table</v>
      </c>
      <c r="C1" s="60"/>
      <c r="D1" s="60"/>
      <c r="E1" s="60"/>
      <c r="F1" s="60"/>
      <c r="G1" s="60"/>
      <c r="H1" s="60"/>
      <c r="I1" s="60"/>
      <c r="J1" s="60"/>
      <c r="K1" s="60"/>
      <c r="L1" s="60"/>
      <c r="M1" s="60"/>
      <c r="N1" s="60"/>
      <c r="O1" s="60"/>
      <c r="P1" s="60"/>
      <c r="Q1" s="60"/>
      <c r="R1" s="61"/>
      <c r="S1" s="60"/>
      <c r="T1" s="60"/>
      <c r="U1" s="60"/>
      <c r="V1" s="60"/>
      <c r="W1" s="60"/>
      <c r="X1" s="60"/>
      <c r="Y1" s="60"/>
      <c r="Z1" s="60"/>
    </row>
    <row r="2" spans="1:26" ht="30" customHeight="1">
      <c r="A2" s="1099"/>
      <c r="B2" s="933" t="s">
        <v>282</v>
      </c>
      <c r="C2" s="178"/>
      <c r="D2" s="178"/>
      <c r="E2" s="178"/>
      <c r="F2" s="178"/>
      <c r="G2" s="178"/>
      <c r="H2" s="178"/>
      <c r="I2" s="178"/>
      <c r="J2" s="178"/>
      <c r="K2" s="178"/>
      <c r="L2" s="178"/>
      <c r="M2" s="178"/>
      <c r="N2" s="178"/>
      <c r="O2" s="178"/>
      <c r="P2" s="179"/>
      <c r="Q2" s="180"/>
      <c r="R2" s="83"/>
      <c r="S2" s="66"/>
      <c r="T2" s="66"/>
      <c r="U2" s="66"/>
      <c r="V2" s="66"/>
      <c r="W2" s="66"/>
      <c r="X2" s="66"/>
      <c r="Y2" s="66"/>
      <c r="Z2" s="66"/>
    </row>
    <row r="3" spans="1:26" ht="15" customHeight="1">
      <c r="A3" s="951"/>
      <c r="B3" s="1114"/>
      <c r="C3" s="67"/>
      <c r="D3" s="67"/>
      <c r="E3" s="67"/>
      <c r="F3" s="67"/>
      <c r="G3" s="67"/>
      <c r="H3" s="67"/>
      <c r="I3" s="67"/>
      <c r="J3" s="67"/>
      <c r="K3" s="67"/>
      <c r="L3" s="67"/>
      <c r="M3" s="67"/>
      <c r="N3" s="67"/>
      <c r="O3" s="67"/>
      <c r="P3" s="67"/>
      <c r="Q3" s="95"/>
      <c r="R3" s="83"/>
      <c r="S3" s="66"/>
      <c r="T3" s="66"/>
      <c r="U3" s="66"/>
      <c r="V3" s="66"/>
      <c r="W3" s="66"/>
      <c r="X3" s="66"/>
      <c r="Y3" s="66"/>
      <c r="Z3" s="66"/>
    </row>
    <row r="4" spans="1:26" ht="35.1" customHeight="1">
      <c r="A4" s="951"/>
      <c r="B4" s="1149" t="s">
        <v>0</v>
      </c>
      <c r="C4" s="1686" t="str">
        <f>Background!$D$2</f>
        <v>Glasgow, University of</v>
      </c>
      <c r="D4" s="1668"/>
      <c r="E4" s="1668"/>
      <c r="F4" s="1687"/>
      <c r="G4" s="986">
        <f>VLOOKUP(Background!$C$2,Inst_Tables,4,FALSE)</f>
        <v>0</v>
      </c>
      <c r="H4" s="576"/>
      <c r="I4" s="67"/>
      <c r="J4" s="67"/>
      <c r="K4" s="67"/>
      <c r="L4" s="67"/>
      <c r="M4" s="67"/>
      <c r="N4" s="67"/>
      <c r="O4" s="67"/>
      <c r="P4" s="67"/>
      <c r="Q4" s="95"/>
      <c r="R4" s="83"/>
      <c r="S4" s="66"/>
      <c r="T4" s="66"/>
      <c r="U4" s="66"/>
      <c r="V4" s="66"/>
      <c r="W4" s="66"/>
      <c r="X4" s="66"/>
      <c r="Y4" s="66"/>
      <c r="Z4" s="66"/>
    </row>
    <row r="5" spans="1:26" ht="30" customHeight="1">
      <c r="A5" s="951"/>
      <c r="B5" s="1115" t="s">
        <v>302</v>
      </c>
      <c r="C5" s="87"/>
      <c r="D5" s="87"/>
      <c r="E5" s="87"/>
      <c r="F5" s="87"/>
      <c r="G5" s="87"/>
      <c r="H5" s="87"/>
      <c r="I5" s="87"/>
      <c r="J5" s="87"/>
      <c r="K5" s="87"/>
      <c r="L5" s="87"/>
      <c r="M5" s="87"/>
      <c r="N5" s="87"/>
      <c r="O5" s="87"/>
      <c r="P5" s="87"/>
      <c r="Q5" s="95"/>
      <c r="R5" s="83"/>
      <c r="S5" s="66"/>
      <c r="T5" s="66"/>
      <c r="U5" s="66"/>
      <c r="V5" s="66"/>
      <c r="W5" s="66"/>
      <c r="X5" s="66"/>
      <c r="Y5" s="66"/>
      <c r="Z5" s="66"/>
    </row>
    <row r="6" spans="1:26" ht="30" customHeight="1">
      <c r="A6" s="951"/>
      <c r="B6" s="1116" t="s">
        <v>448</v>
      </c>
      <c r="C6" s="87"/>
      <c r="D6" s="87"/>
      <c r="E6" s="87"/>
      <c r="F6" s="87"/>
      <c r="G6" s="87"/>
      <c r="H6" s="87"/>
      <c r="I6" s="87"/>
      <c r="J6" s="87"/>
      <c r="K6" s="87"/>
      <c r="L6" s="87"/>
      <c r="M6" s="87"/>
      <c r="N6" s="87"/>
      <c r="O6" s="87"/>
      <c r="P6" s="87"/>
      <c r="Q6" s="95"/>
      <c r="R6" s="83"/>
      <c r="S6" s="66"/>
      <c r="T6" s="66"/>
      <c r="U6" s="66"/>
      <c r="V6" s="66"/>
      <c r="W6" s="66"/>
      <c r="X6" s="66"/>
      <c r="Y6" s="66"/>
      <c r="Z6" s="66"/>
    </row>
    <row r="7" spans="1:26" ht="15" customHeight="1" thickBot="1">
      <c r="A7" s="951"/>
      <c r="B7" s="1116"/>
      <c r="C7" s="87"/>
      <c r="D7" s="87"/>
      <c r="E7" s="87"/>
      <c r="F7" s="87"/>
      <c r="G7" s="87"/>
      <c r="H7" s="87"/>
      <c r="I7" s="87"/>
      <c r="J7" s="87"/>
      <c r="K7" s="87"/>
      <c r="L7" s="87"/>
      <c r="M7" s="87"/>
      <c r="N7" s="87"/>
      <c r="O7" s="87"/>
      <c r="P7" s="87"/>
      <c r="Q7" s="95"/>
      <c r="R7" s="83"/>
      <c r="S7" s="66"/>
      <c r="T7" s="66"/>
      <c r="U7" s="66"/>
      <c r="V7" s="66"/>
      <c r="W7" s="66"/>
      <c r="X7" s="66"/>
      <c r="Y7" s="66"/>
      <c r="Z7" s="66"/>
    </row>
    <row r="8" spans="1:26" ht="35.1" customHeight="1">
      <c r="A8" s="951"/>
      <c r="B8" s="1119"/>
      <c r="C8" s="1681" t="s">
        <v>27</v>
      </c>
      <c r="D8" s="1682"/>
      <c r="E8" s="1682"/>
      <c r="F8" s="1682"/>
      <c r="G8" s="1682"/>
      <c r="H8" s="1682"/>
      <c r="I8" s="1682"/>
      <c r="J8" s="1682"/>
      <c r="K8" s="1682"/>
      <c r="L8" s="1682"/>
      <c r="M8" s="1682"/>
      <c r="N8" s="1682"/>
      <c r="O8" s="1682"/>
      <c r="P8" s="1683"/>
      <c r="Q8" s="95"/>
      <c r="R8" s="83"/>
      <c r="S8" s="66"/>
      <c r="T8" s="66"/>
      <c r="U8" s="66"/>
      <c r="V8" s="66"/>
      <c r="W8" s="66"/>
      <c r="X8" s="66"/>
      <c r="Y8" s="66"/>
      <c r="Z8" s="66"/>
    </row>
    <row r="9" spans="1:26" ht="35.1" customHeight="1">
      <c r="A9" s="951"/>
      <c r="B9" s="1120" t="s">
        <v>301</v>
      </c>
      <c r="C9" s="181">
        <v>0</v>
      </c>
      <c r="D9" s="182"/>
      <c r="E9" s="181" t="s">
        <v>39</v>
      </c>
      <c r="F9" s="182"/>
      <c r="G9" s="181">
        <v>2</v>
      </c>
      <c r="H9" s="182"/>
      <c r="I9" s="181">
        <v>3</v>
      </c>
      <c r="J9" s="182"/>
      <c r="K9" s="181">
        <v>4</v>
      </c>
      <c r="L9" s="182"/>
      <c r="M9" s="181">
        <v>5</v>
      </c>
      <c r="N9" s="182"/>
      <c r="O9" s="1684" t="s">
        <v>2</v>
      </c>
      <c r="P9" s="1685"/>
      <c r="Q9" s="95"/>
      <c r="R9" s="83"/>
      <c r="S9" s="66"/>
      <c r="T9" s="66"/>
      <c r="U9" s="66"/>
      <c r="V9" s="66"/>
      <c r="W9" s="66"/>
      <c r="X9" s="66"/>
      <c r="Y9" s="66"/>
      <c r="Z9" s="66"/>
    </row>
    <row r="10" spans="1:26" ht="35.1" customHeight="1">
      <c r="A10" s="951"/>
      <c r="B10" s="1121"/>
      <c r="C10" s="75" t="s">
        <v>32</v>
      </c>
      <c r="D10" s="184" t="s">
        <v>85</v>
      </c>
      <c r="E10" s="75" t="s">
        <v>32</v>
      </c>
      <c r="F10" s="184" t="s">
        <v>85</v>
      </c>
      <c r="G10" s="75" t="s">
        <v>32</v>
      </c>
      <c r="H10" s="184" t="s">
        <v>85</v>
      </c>
      <c r="I10" s="75" t="s">
        <v>32</v>
      </c>
      <c r="J10" s="184" t="s">
        <v>85</v>
      </c>
      <c r="K10" s="75" t="s">
        <v>32</v>
      </c>
      <c r="L10" s="184" t="s">
        <v>85</v>
      </c>
      <c r="M10" s="75" t="s">
        <v>32</v>
      </c>
      <c r="N10" s="184" t="s">
        <v>85</v>
      </c>
      <c r="O10" s="183" t="s">
        <v>32</v>
      </c>
      <c r="P10" s="185" t="s">
        <v>85</v>
      </c>
      <c r="Q10" s="78"/>
      <c r="R10" s="83"/>
      <c r="S10" s="186" t="s">
        <v>79</v>
      </c>
      <c r="T10" s="66"/>
      <c r="U10" s="66"/>
      <c r="V10" s="66"/>
      <c r="W10" s="66"/>
      <c r="X10" s="66"/>
      <c r="Y10" s="66"/>
      <c r="Z10" s="66"/>
    </row>
    <row r="11" spans="1:26" ht="35.1" customHeight="1">
      <c r="A11" s="951"/>
      <c r="B11" s="1121"/>
      <c r="C11" s="239" t="s">
        <v>47</v>
      </c>
      <c r="D11" s="238" t="s">
        <v>47</v>
      </c>
      <c r="E11" s="239" t="s">
        <v>47</v>
      </c>
      <c r="F11" s="238" t="s">
        <v>47</v>
      </c>
      <c r="G11" s="239" t="s">
        <v>47</v>
      </c>
      <c r="H11" s="238" t="s">
        <v>47</v>
      </c>
      <c r="I11" s="239" t="s">
        <v>47</v>
      </c>
      <c r="J11" s="238" t="s">
        <v>47</v>
      </c>
      <c r="K11" s="239" t="s">
        <v>47</v>
      </c>
      <c r="L11" s="238" t="s">
        <v>47</v>
      </c>
      <c r="M11" s="239" t="s">
        <v>47</v>
      </c>
      <c r="N11" s="238" t="s">
        <v>47</v>
      </c>
      <c r="O11" s="241" t="s">
        <v>151</v>
      </c>
      <c r="P11" s="932" t="s">
        <v>151</v>
      </c>
      <c r="Q11" s="78"/>
      <c r="R11" s="83"/>
      <c r="S11" s="187" t="s">
        <v>88</v>
      </c>
      <c r="T11" s="187" t="s">
        <v>89</v>
      </c>
      <c r="U11" s="187" t="s">
        <v>90</v>
      </c>
      <c r="V11" s="187" t="s">
        <v>91</v>
      </c>
      <c r="W11" s="187" t="s">
        <v>92</v>
      </c>
      <c r="X11" s="187" t="s">
        <v>93</v>
      </c>
      <c r="Y11" s="187" t="s">
        <v>2</v>
      </c>
      <c r="Z11" s="66"/>
    </row>
    <row r="12" spans="1:26" ht="30" customHeight="1" thickBot="1">
      <c r="A12" s="951"/>
      <c r="B12" s="1122"/>
      <c r="C12" s="242" t="s">
        <v>4</v>
      </c>
      <c r="D12" s="242" t="s">
        <v>5</v>
      </c>
      <c r="E12" s="242" t="s">
        <v>6</v>
      </c>
      <c r="F12" s="242" t="s">
        <v>7</v>
      </c>
      <c r="G12" s="242" t="s">
        <v>8</v>
      </c>
      <c r="H12" s="242" t="s">
        <v>9</v>
      </c>
      <c r="I12" s="242" t="s">
        <v>59</v>
      </c>
      <c r="J12" s="242" t="s">
        <v>60</v>
      </c>
      <c r="K12" s="242" t="s">
        <v>61</v>
      </c>
      <c r="L12" s="242" t="s">
        <v>10</v>
      </c>
      <c r="M12" s="242" t="s">
        <v>11</v>
      </c>
      <c r="N12" s="242" t="s">
        <v>12</v>
      </c>
      <c r="O12" s="242" t="s">
        <v>13</v>
      </c>
      <c r="P12" s="243" t="s">
        <v>14</v>
      </c>
      <c r="Q12" s="78"/>
      <c r="R12" s="83"/>
      <c r="S12" s="979"/>
      <c r="T12" s="187"/>
      <c r="U12" s="187"/>
      <c r="V12" s="187"/>
      <c r="W12" s="187"/>
      <c r="X12" s="187"/>
      <c r="Y12" s="187"/>
      <c r="Z12" s="66"/>
    </row>
    <row r="13" spans="1:26" ht="45" customHeight="1">
      <c r="A13" s="951"/>
      <c r="B13" s="1132" t="s">
        <v>25</v>
      </c>
      <c r="C13" s="188"/>
      <c r="D13" s="189"/>
      <c r="E13" s="190"/>
      <c r="F13" s="191"/>
      <c r="G13" s="188"/>
      <c r="H13" s="189"/>
      <c r="I13" s="190"/>
      <c r="J13" s="191"/>
      <c r="K13" s="188"/>
      <c r="L13" s="189"/>
      <c r="M13" s="190"/>
      <c r="N13" s="191"/>
      <c r="O13" s="192">
        <f>SUM(C13,E13,G13,I13,K13,M13)</f>
        <v>0</v>
      </c>
      <c r="P13" s="193">
        <f>SUM(D13,F13,H13,J13,L13,N13)</f>
        <v>0</v>
      </c>
      <c r="Q13" s="95"/>
      <c r="R13" s="83"/>
      <c r="S13" s="194" t="str">
        <f>IF(C13&lt;=D13,"OK","FTE larger than Headcount")</f>
        <v>OK</v>
      </c>
      <c r="T13" s="195" t="str">
        <f>IF(E13&lt;=F13,"OK","FTE larger than Headcount")</f>
        <v>OK</v>
      </c>
      <c r="U13" s="195" t="str">
        <f>IF(G13&lt;=H13,"OK","FTE larger than Headcount")</f>
        <v>OK</v>
      </c>
      <c r="V13" s="195" t="str">
        <f>IF(I13&lt;=J13,"OK","FTE larger than Headcount")</f>
        <v>OK</v>
      </c>
      <c r="W13" s="195" t="str">
        <f>IF(K13&lt;=L13,"OK","FTE larger than Headcount")</f>
        <v>OK</v>
      </c>
      <c r="X13" s="195" t="str">
        <f>IF(M13&lt;=N13,"OK","FTE larger than Headcount")</f>
        <v>OK</v>
      </c>
      <c r="Y13" s="196" t="str">
        <f>IF(O13&lt;=P13,"OK","FTE larger than Headcount")</f>
        <v>OK</v>
      </c>
      <c r="Z13" s="66"/>
    </row>
    <row r="14" spans="1:26" ht="45" customHeight="1" thickBot="1">
      <c r="A14" s="951"/>
      <c r="B14" s="1163" t="s">
        <v>263</v>
      </c>
      <c r="C14" s="197"/>
      <c r="D14" s="198"/>
      <c r="E14" s="199"/>
      <c r="F14" s="200"/>
      <c r="G14" s="197"/>
      <c r="H14" s="198"/>
      <c r="I14" s="199"/>
      <c r="J14" s="200"/>
      <c r="K14" s="197"/>
      <c r="L14" s="198"/>
      <c r="M14" s="199"/>
      <c r="N14" s="200"/>
      <c r="O14" s="201">
        <f>SUM(C14,E14,G14,I14,K14,M14)</f>
        <v>0</v>
      </c>
      <c r="P14" s="202">
        <f>SUM(D14,F14,H14,J14,L14,N14)</f>
        <v>0</v>
      </c>
      <c r="Q14" s="95"/>
      <c r="R14" s="83"/>
      <c r="S14" s="203" t="str">
        <f>IF(C14&lt;=D14,"OK","FTE larger than Headcount")</f>
        <v>OK</v>
      </c>
      <c r="T14" s="204" t="str">
        <f>IF(E14&lt;=F14,"OK","FTE larger than Headcount")</f>
        <v>OK</v>
      </c>
      <c r="U14" s="204" t="str">
        <f>IF(G14&lt;=H14,"OK","FTE larger than Headcount")</f>
        <v>OK</v>
      </c>
      <c r="V14" s="204" t="str">
        <f>IF(I14&lt;=J14,"OK","FTE larger than Headcount")</f>
        <v>OK</v>
      </c>
      <c r="W14" s="204" t="str">
        <f>IF(K14&lt;=L14,"OK","FTE larger than Headcount")</f>
        <v>OK</v>
      </c>
      <c r="X14" s="204" t="str">
        <f>IF(M14&lt;=N14,"OK","FTE larger than Headcount")</f>
        <v>OK</v>
      </c>
      <c r="Y14" s="205" t="str">
        <f>IF(O14&lt;=P14,"OK","FTE larger than Headcount")</f>
        <v>OK</v>
      </c>
      <c r="Z14" s="66"/>
    </row>
    <row r="15" spans="1:26" ht="30" customHeight="1">
      <c r="A15" s="977"/>
      <c r="B15" s="1118"/>
      <c r="C15" s="206"/>
      <c r="D15" s="206"/>
      <c r="E15" s="206"/>
      <c r="F15" s="206"/>
      <c r="G15" s="206"/>
      <c r="H15" s="206"/>
      <c r="I15" s="206"/>
      <c r="J15" s="206"/>
      <c r="K15" s="206"/>
      <c r="L15" s="206"/>
      <c r="M15" s="206"/>
      <c r="N15" s="206"/>
      <c r="O15" s="206"/>
      <c r="P15" s="206"/>
      <c r="Q15" s="207"/>
      <c r="R15" s="83"/>
      <c r="S15" s="186"/>
      <c r="T15" s="66"/>
      <c r="U15" s="66"/>
      <c r="V15" s="66"/>
      <c r="W15" s="66"/>
      <c r="X15" s="66"/>
      <c r="Y15" s="66"/>
      <c r="Z15" s="66"/>
    </row>
    <row r="16" spans="1:26" ht="30" customHeight="1">
      <c r="A16" s="580"/>
      <c r="B16" s="1124"/>
      <c r="C16" s="87"/>
      <c r="D16" s="87"/>
      <c r="E16" s="87"/>
      <c r="F16" s="87"/>
      <c r="G16" s="87"/>
      <c r="H16" s="87"/>
      <c r="I16" s="87"/>
      <c r="J16" s="87"/>
      <c r="K16" s="87"/>
      <c r="L16" s="87"/>
      <c r="M16" s="87"/>
      <c r="N16" s="87"/>
      <c r="O16" s="87"/>
      <c r="P16" s="178"/>
      <c r="Q16" s="178"/>
      <c r="R16" s="83"/>
      <c r="S16" s="186" t="s">
        <v>96</v>
      </c>
      <c r="T16" s="66"/>
      <c r="U16" s="66"/>
      <c r="V16" s="66"/>
      <c r="W16" s="66"/>
      <c r="X16" s="66"/>
      <c r="Y16" s="66"/>
      <c r="Z16" s="66"/>
    </row>
    <row r="17" spans="1:26" ht="9.9499999999999993" customHeight="1" thickBot="1">
      <c r="A17" s="580"/>
      <c r="B17" s="1117"/>
      <c r="C17" s="87"/>
      <c r="D17" s="87"/>
      <c r="E17" s="87"/>
      <c r="F17" s="87"/>
      <c r="G17" s="87"/>
      <c r="H17" s="87"/>
      <c r="I17" s="87"/>
      <c r="J17" s="87"/>
      <c r="K17" s="87"/>
      <c r="L17" s="87"/>
      <c r="M17" s="87"/>
      <c r="N17" s="87"/>
      <c r="O17" s="87"/>
      <c r="P17" s="87"/>
      <c r="Q17" s="87"/>
      <c r="R17" s="83"/>
      <c r="S17" s="186"/>
      <c r="T17" s="66"/>
      <c r="U17" s="66"/>
      <c r="V17" s="66"/>
      <c r="W17" s="66"/>
      <c r="X17" s="66"/>
      <c r="Y17" s="66"/>
      <c r="Z17" s="66"/>
    </row>
    <row r="18" spans="1:26" ht="45" customHeight="1">
      <c r="A18" s="580"/>
      <c r="B18" s="208"/>
      <c r="C18" s="208"/>
      <c r="D18" s="209"/>
      <c r="E18" s="209"/>
      <c r="F18" s="209"/>
      <c r="G18" s="209"/>
      <c r="H18" s="209"/>
      <c r="I18" s="209"/>
      <c r="J18" s="209"/>
      <c r="K18" s="209"/>
      <c r="L18" s="209"/>
      <c r="M18" s="209"/>
      <c r="N18" s="209"/>
      <c r="O18" s="209"/>
      <c r="P18" s="209"/>
      <c r="Q18" s="209"/>
      <c r="R18" s="83"/>
      <c r="S18" s="210" t="str">
        <f>IF(OR((COUNTBLANK(C13:D13)=1),AND(MAX(C13,D13)&gt;0,MIN(C13,D13)=0)),"Only one of FTE and Headcount is non-zero","OK")</f>
        <v>OK</v>
      </c>
      <c r="T18" s="211" t="str">
        <f>IF(OR((COUNTBLANK(E13:F13)=1),AND(MAX(E13,F13)&gt;0,MIN(E13,F13)=0)),"Only one of FTE and Headcount is non-zero","OK")</f>
        <v>OK</v>
      </c>
      <c r="U18" s="211" t="str">
        <f>IF(OR((COUNTBLANK(G13:H13)=1),AND(MAX(G13,H13)&gt;0,MIN(G13,H13)=0)),"Only one of FTE and Headcount is non-zero","OK")</f>
        <v>OK</v>
      </c>
      <c r="V18" s="211" t="str">
        <f>IF(OR((COUNTBLANK(I13:J13)=1),AND(MAX(I13,J13)&gt;0,MIN(I13,J13)=0)),"Only one of FTE and Headcount is non-zero","OK")</f>
        <v>OK</v>
      </c>
      <c r="W18" s="211" t="str">
        <f>IF(OR((COUNTBLANK(K13:L13)=1),AND(MAX(K13,L13)&gt;0,MIN(K13,L13)=0)),"Only one of FTE and Headcount is non-zero","OK")</f>
        <v>OK</v>
      </c>
      <c r="X18" s="211" t="str">
        <f>IF(OR((COUNTBLANK(M13:N13)=1),AND(MAX(M13,N13)&gt;0,MIN(M13,N13)=0)),"Only one of FTE and Headcount is non-zero","OK")</f>
        <v>OK</v>
      </c>
      <c r="Y18" s="212" t="str">
        <f>IF(OR((COUNTBLANK(O13:P13)=1),AND(MAX(O13,P13)&gt;0,MIN(O13,P13)=0)),"Only one of FTE and Headcount is non-zero","OK")</f>
        <v>OK</v>
      </c>
      <c r="Z18" s="66"/>
    </row>
    <row r="19" spans="1:26" ht="45" customHeight="1" thickBot="1">
      <c r="A19" s="580"/>
      <c r="B19" s="83"/>
      <c r="C19" s="213"/>
      <c r="D19" s="213"/>
      <c r="E19" s="213"/>
      <c r="F19" s="213"/>
      <c r="G19" s="213"/>
      <c r="H19" s="213"/>
      <c r="I19" s="213"/>
      <c r="J19" s="213"/>
      <c r="K19" s="213"/>
      <c r="L19" s="213"/>
      <c r="M19" s="213"/>
      <c r="N19" s="213"/>
      <c r="O19" s="213"/>
      <c r="P19" s="213"/>
      <c r="Q19" s="213"/>
      <c r="R19" s="213"/>
      <c r="S19" s="214" t="str">
        <f>IF(OR((COUNTBLANK(C14:D14)=1),AND(MAX(C14,D14)&gt;0,MIN(C14,D14)=0)),"Only one of FTE and Headcount is non-zero","OK")</f>
        <v>OK</v>
      </c>
      <c r="T19" s="215" t="str">
        <f>IF(OR((COUNTBLANK(E14:F14)=1),AND(MAX(E14,F14)&gt;0,MIN(E14,F14)=0)),"Only one of FTE and Headcount is non-zero","OK")</f>
        <v>OK</v>
      </c>
      <c r="U19" s="215" t="str">
        <f>IF(OR((COUNTBLANK(G14:H14)=1),AND(MAX(G14,H14)&gt;0,MIN(G14,H14)=0)),"Only one of FTE and Headcount is non-zero","OK")</f>
        <v>OK</v>
      </c>
      <c r="V19" s="215" t="str">
        <f>IF(OR((COUNTBLANK(I14:J14)=1),AND(MAX(I14,J14)&gt;0,MIN(I14,J14)=0)),"Only one of FTE and Headcount is non-zero","OK")</f>
        <v>OK</v>
      </c>
      <c r="W19" s="215" t="str">
        <f>IF(OR((COUNTBLANK(K14:L14)=1),AND(MAX(K14,L14)&gt;0,MIN(K14,L14)=0)),"Only one of FTE and Headcount is non-zero","OK")</f>
        <v>OK</v>
      </c>
      <c r="X19" s="215" t="str">
        <f>IF(OR((COUNTBLANK(M14:N14)=1),AND(MAX(M14,N14)&gt;0,MIN(M14,N14)=0)),"Only one of FTE and Headcount is non-zero","OK")</f>
        <v>OK</v>
      </c>
      <c r="Y19" s="216" t="str">
        <f>IF(OR((COUNTBLANK(O14:P14)=1),AND(MAX(O14,P14)&gt;0,MIN(O14,P14)=0)),"Only one of FTE and Headcount is non-zero","OK")</f>
        <v>OK</v>
      </c>
      <c r="Z19" s="66"/>
    </row>
    <row r="20" spans="1:26" ht="33.75" customHeight="1">
      <c r="A20" s="580"/>
      <c r="B20" s="213"/>
      <c r="C20" s="213"/>
      <c r="D20" s="213"/>
      <c r="E20" s="213"/>
      <c r="F20" s="213"/>
      <c r="G20" s="213"/>
      <c r="H20" s="213"/>
      <c r="I20" s="213"/>
      <c r="J20" s="213"/>
      <c r="K20" s="213"/>
      <c r="L20" s="213"/>
      <c r="M20" s="213"/>
      <c r="N20" s="213"/>
      <c r="O20" s="213"/>
      <c r="P20" s="213"/>
      <c r="Q20" s="213"/>
      <c r="R20" s="213"/>
      <c r="S20" s="217"/>
      <c r="T20" s="217"/>
      <c r="U20" s="217"/>
      <c r="V20" s="217"/>
      <c r="W20" s="217"/>
      <c r="X20" s="217"/>
      <c r="Y20" s="217"/>
      <c r="Z20" s="66"/>
    </row>
    <row r="21" spans="1:26" ht="12.75" customHeight="1">
      <c r="B21" s="1554"/>
      <c r="C21" s="1560"/>
      <c r="D21" s="1560"/>
      <c r="E21" s="1560"/>
      <c r="F21" s="1560"/>
      <c r="G21" s="1560"/>
      <c r="H21" s="1560"/>
      <c r="I21" s="1560"/>
      <c r="J21" s="1560"/>
      <c r="K21" s="1560"/>
      <c r="L21" s="1560"/>
      <c r="M21" s="1560"/>
      <c r="N21" s="1560"/>
    </row>
    <row r="22" spans="1:26">
      <c r="C22" s="1560"/>
      <c r="D22" s="1560"/>
      <c r="E22" s="1560"/>
      <c r="F22" s="1560"/>
      <c r="G22" s="1560"/>
      <c r="H22" s="1560"/>
      <c r="I22" s="1560"/>
      <c r="J22" s="1560"/>
      <c r="K22" s="1560"/>
      <c r="L22" s="1560"/>
      <c r="M22" s="1560"/>
      <c r="N22" s="1560"/>
    </row>
    <row r="23" spans="1:26">
      <c r="C23" s="1560"/>
      <c r="D23" s="1560"/>
      <c r="E23" s="1560"/>
      <c r="F23" s="1560"/>
      <c r="G23" s="1560"/>
      <c r="H23" s="1560"/>
      <c r="I23" s="1560"/>
      <c r="J23" s="1560"/>
      <c r="K23" s="1560"/>
      <c r="L23" s="1560"/>
      <c r="M23" s="1560"/>
      <c r="N23" s="1560"/>
    </row>
  </sheetData>
  <sheetProtection password="E23E" sheet="1" objects="1" scenarios="1"/>
  <mergeCells count="3">
    <mergeCell ref="C8:P8"/>
    <mergeCell ref="O9:P9"/>
    <mergeCell ref="C4:F4"/>
  </mergeCells>
  <conditionalFormatting sqref="B3:D3 B18:D18">
    <cfRule type="expression" dxfId="132" priority="14" stopIfTrue="1">
      <formula>#REF!=0</formula>
    </cfRule>
  </conditionalFormatting>
  <conditionalFormatting sqref="B4:C4">
    <cfRule type="expression" dxfId="131" priority="18" stopIfTrue="1">
      <formula>#REF!=0</formula>
    </cfRule>
  </conditionalFormatting>
  <conditionalFormatting sqref="B5">
    <cfRule type="expression" dxfId="130" priority="1" stopIfTrue="1">
      <formula>#REF!=0</formula>
    </cfRule>
  </conditionalFormatting>
  <conditionalFormatting sqref="C13:N14">
    <cfRule type="expression" dxfId="129" priority="82" stopIfTrue="1">
      <formula>$G$4=0</formula>
    </cfRule>
  </conditionalFormatting>
  <conditionalFormatting sqref="S13:Y14 S18:Y19">
    <cfRule type="expression" dxfId="128" priority="83" stopIfTrue="1">
      <formula>$F$4=0</formula>
    </cfRule>
  </conditionalFormatting>
  <conditionalFormatting sqref="A1:Z1">
    <cfRule type="expression" dxfId="127" priority="85" stopIfTrue="1">
      <formula>$G$4=0</formula>
    </cfRule>
  </conditionalFormatting>
  <dataValidations count="2">
    <dataValidation allowBlank="1" sqref="S18:Y20 C12:P12"/>
    <dataValidation type="custom" allowBlank="1" showErrorMessage="1" errorTitle="Number less than 0" error="You are trying to enter a number which is less than 0, please re-enter a valid number." sqref="C13:N14">
      <formula1>C13&gt;=0</formula1>
    </dataValidation>
  </dataValidations>
  <printOptions horizontalCentered="1" verticalCentered="1"/>
  <pageMargins left="0.19685039370078741" right="0.19685039370078741" top="0.19685039370078741" bottom="0.23622047244094491" header="0.19685039370078741" footer="0.15748031496062992"/>
  <pageSetup paperSize="9" scale="7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80" zoomScaleNormal="80" workbookViewId="0"/>
  </sheetViews>
  <sheetFormatPr defaultRowHeight="15"/>
  <cols>
    <col min="1" max="1" width="2.7109375" style="1547" customWidth="1"/>
    <col min="2" max="2" width="24.7109375" style="1547" customWidth="1"/>
    <col min="3" max="5" width="16.7109375" style="1547" customWidth="1"/>
    <col min="6" max="6" width="14.7109375" style="1547" customWidth="1"/>
    <col min="7" max="16384" width="9.140625" style="1547"/>
  </cols>
  <sheetData>
    <row r="1" spans="1:6" ht="39.950000000000003" customHeight="1">
      <c r="A1" s="580"/>
      <c r="B1" s="630" t="str">
        <f>IF(E4=0,"Your Institution Does Not Complete This Table","")</f>
        <v/>
      </c>
      <c r="C1" s="60"/>
      <c r="D1" s="60"/>
      <c r="E1" s="60"/>
      <c r="F1" s="60"/>
    </row>
    <row r="2" spans="1:6" ht="30" customHeight="1">
      <c r="A2" s="1099"/>
      <c r="B2" s="933" t="s">
        <v>281</v>
      </c>
      <c r="C2" s="63"/>
      <c r="D2" s="63"/>
      <c r="E2" s="63"/>
      <c r="F2" s="726"/>
    </row>
    <row r="3" spans="1:6" ht="15" customHeight="1">
      <c r="A3" s="951"/>
      <c r="B3" s="208"/>
      <c r="C3" s="219"/>
      <c r="D3" s="219"/>
      <c r="E3" s="219"/>
      <c r="F3" s="220"/>
    </row>
    <row r="4" spans="1:6" ht="35.1" customHeight="1">
      <c r="A4" s="951"/>
      <c r="B4" s="1125" t="s">
        <v>0</v>
      </c>
      <c r="C4" s="1667" t="str">
        <f>Background!$D$2</f>
        <v>Glasgow, University of</v>
      </c>
      <c r="D4" s="1687"/>
      <c r="E4" s="221">
        <f>VLOOKUP(Background!$C$2,Inst_Tables,5,FALSE)</f>
        <v>1</v>
      </c>
      <c r="F4" s="222"/>
    </row>
    <row r="5" spans="1:6" ht="35.1" customHeight="1">
      <c r="A5" s="951"/>
      <c r="B5" s="1126" t="s">
        <v>328</v>
      </c>
      <c r="C5" s="223"/>
      <c r="D5" s="87"/>
      <c r="E5" s="87"/>
      <c r="F5" s="225"/>
    </row>
    <row r="6" spans="1:6" ht="30" customHeight="1">
      <c r="A6" s="951"/>
      <c r="B6" s="1116" t="s">
        <v>449</v>
      </c>
      <c r="C6" s="223"/>
      <c r="D6" s="87"/>
      <c r="E6" s="87"/>
      <c r="F6" s="225"/>
    </row>
    <row r="7" spans="1:6" ht="15" customHeight="1" thickBot="1">
      <c r="A7" s="951"/>
      <c r="B7" s="1116"/>
      <c r="C7" s="223"/>
      <c r="D7" s="87"/>
      <c r="E7" s="87"/>
      <c r="F7" s="225"/>
    </row>
    <row r="8" spans="1:6" ht="60" customHeight="1">
      <c r="A8" s="951"/>
      <c r="B8" s="1127"/>
      <c r="C8" s="1677" t="s">
        <v>150</v>
      </c>
      <c r="D8" s="1677"/>
      <c r="E8" s="1688"/>
      <c r="F8" s="95"/>
    </row>
    <row r="9" spans="1:6" ht="39.950000000000003" customHeight="1">
      <c r="A9" s="951"/>
      <c r="B9" s="1128" t="s">
        <v>42</v>
      </c>
      <c r="C9" s="237" t="s">
        <v>40</v>
      </c>
      <c r="D9" s="183" t="s">
        <v>41</v>
      </c>
      <c r="E9" s="77" t="s">
        <v>2</v>
      </c>
      <c r="F9" s="95"/>
    </row>
    <row r="10" spans="1:6" ht="30" customHeight="1">
      <c r="A10" s="951"/>
      <c r="B10" s="1129"/>
      <c r="C10" s="234" t="s">
        <v>43</v>
      </c>
      <c r="D10" s="235" t="s">
        <v>43</v>
      </c>
      <c r="E10" s="236" t="s">
        <v>43</v>
      </c>
      <c r="F10" s="95"/>
    </row>
    <row r="11" spans="1:6" ht="30" customHeight="1">
      <c r="A11" s="951"/>
      <c r="B11" s="1130"/>
      <c r="C11" s="234" t="s">
        <v>47</v>
      </c>
      <c r="D11" s="235" t="s">
        <v>47</v>
      </c>
      <c r="E11" s="236" t="s">
        <v>3</v>
      </c>
      <c r="F11" s="95"/>
    </row>
    <row r="12" spans="1:6" ht="30" customHeight="1" thickBot="1">
      <c r="A12" s="951"/>
      <c r="B12" s="1131"/>
      <c r="C12" s="244" t="s">
        <v>4</v>
      </c>
      <c r="D12" s="244" t="s">
        <v>5</v>
      </c>
      <c r="E12" s="245" t="s">
        <v>6</v>
      </c>
      <c r="F12" s="95"/>
    </row>
    <row r="13" spans="1:6" ht="35.1" customHeight="1">
      <c r="A13" s="951"/>
      <c r="B13" s="1132" t="s">
        <v>33</v>
      </c>
      <c r="C13" s="232">
        <v>361</v>
      </c>
      <c r="D13" s="233">
        <v>46</v>
      </c>
      <c r="E13" s="226">
        <f>SUM(C13,D13)</f>
        <v>407</v>
      </c>
      <c r="F13" s="78"/>
    </row>
    <row r="14" spans="1:6" ht="35.1" customHeight="1">
      <c r="A14" s="951"/>
      <c r="B14" s="1133" t="s">
        <v>34</v>
      </c>
      <c r="C14" s="232">
        <v>78</v>
      </c>
      <c r="D14" s="233">
        <v>7</v>
      </c>
      <c r="E14" s="226">
        <f>SUM(C14,D14)</f>
        <v>85</v>
      </c>
      <c r="F14" s="78"/>
    </row>
    <row r="15" spans="1:6" ht="35.1" customHeight="1" thickBot="1">
      <c r="A15" s="951"/>
      <c r="B15" s="1134" t="s">
        <v>2</v>
      </c>
      <c r="C15" s="227">
        <f>SUM(C13:C14)</f>
        <v>439</v>
      </c>
      <c r="D15" s="227">
        <f>SUM(D13:D14)</f>
        <v>53</v>
      </c>
      <c r="E15" s="228">
        <f>SUM(E13:E14)</f>
        <v>492</v>
      </c>
      <c r="F15" s="78"/>
    </row>
    <row r="16" spans="1:6" ht="24.95" customHeight="1">
      <c r="A16" s="977"/>
      <c r="B16" s="229"/>
      <c r="C16" s="229"/>
      <c r="D16" s="230"/>
      <c r="E16" s="230"/>
      <c r="F16" s="231"/>
    </row>
    <row r="17" spans="2:10" s="1561" customFormat="1" ht="12" customHeight="1">
      <c r="B17" s="1562"/>
    </row>
    <row r="18" spans="2:10">
      <c r="D18" s="1560"/>
      <c r="E18" s="1560"/>
      <c r="F18" s="1560"/>
      <c r="G18" s="1560"/>
      <c r="H18" s="1560"/>
      <c r="I18" s="1560"/>
      <c r="J18" s="1560"/>
    </row>
    <row r="19" spans="2:10">
      <c r="D19" s="1560"/>
      <c r="E19" s="1560"/>
      <c r="F19" s="1560"/>
      <c r="G19" s="1560"/>
      <c r="H19" s="1560"/>
      <c r="I19" s="1560"/>
      <c r="J19" s="1560"/>
    </row>
    <row r="20" spans="2:10">
      <c r="D20" s="1560"/>
      <c r="E20" s="1560"/>
      <c r="F20" s="1560"/>
      <c r="G20" s="1560"/>
      <c r="H20" s="1560"/>
      <c r="I20" s="1560"/>
      <c r="J20" s="1560"/>
    </row>
    <row r="25" spans="2:10" ht="12.75" customHeight="1"/>
  </sheetData>
  <sheetProtection password="E23E" sheet="1" objects="1" scenarios="1"/>
  <mergeCells count="2">
    <mergeCell ref="C8:E8"/>
    <mergeCell ref="C4:D4"/>
  </mergeCells>
  <conditionalFormatting sqref="B2">
    <cfRule type="expression" dxfId="126" priority="1" stopIfTrue="1">
      <formula>#REF!=0</formula>
    </cfRule>
  </conditionalFormatting>
  <conditionalFormatting sqref="A1:F1">
    <cfRule type="expression" dxfId="125" priority="86" stopIfTrue="1">
      <formula>$E$4=0</formula>
    </cfRule>
  </conditionalFormatting>
  <dataValidations count="1">
    <dataValidation type="custom" allowBlank="1" showErrorMessage="1" errorTitle="Number less than 0" error="You are trying to enter a number which is less than 0, please re-enter a valid number." sqref="C13:D14">
      <formula1>C13&gt;=0</formula1>
    </dataValidation>
  </dataValidations>
  <printOptions horizontalCentered="1" verticalCentered="1"/>
  <pageMargins left="0.2" right="0.19" top="0.2" bottom="0.25" header="0.17" footer="0.16"/>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1"/>
  <sheetViews>
    <sheetView topLeftCell="B1" zoomScale="70" zoomScaleNormal="70" workbookViewId="0">
      <selection activeCell="B1" sqref="B1"/>
    </sheetView>
  </sheetViews>
  <sheetFormatPr defaultRowHeight="15"/>
  <cols>
    <col min="1" max="1" width="2.7109375" style="1547" customWidth="1"/>
    <col min="2" max="2" width="35.7109375" style="1547" customWidth="1"/>
    <col min="3" max="21" width="12.7109375" style="1547" customWidth="1"/>
    <col min="22" max="22" width="15.7109375" style="1547" customWidth="1"/>
    <col min="23" max="24" width="13.7109375" style="1547" customWidth="1"/>
    <col min="25" max="25" width="15.7109375" style="1547" customWidth="1"/>
    <col min="26" max="27" width="4.7109375" style="1547" customWidth="1"/>
    <col min="28" max="29" width="14.7109375" style="1547" customWidth="1"/>
    <col min="30" max="30" width="29.7109375" style="1547" customWidth="1"/>
    <col min="31" max="31" width="5.7109375" style="1547" customWidth="1"/>
    <col min="32" max="16384" width="9.140625" style="1547"/>
  </cols>
  <sheetData>
    <row r="1" spans="1:31" ht="39.950000000000003" customHeight="1">
      <c r="A1" s="580"/>
      <c r="B1" s="630" t="str">
        <f>IF(G4=0,"Your Institution Does Not Complete This Table","")</f>
        <v/>
      </c>
      <c r="C1" s="60"/>
      <c r="D1" s="60"/>
      <c r="E1" s="60"/>
      <c r="F1" s="60"/>
      <c r="G1" s="60"/>
      <c r="H1" s="60"/>
      <c r="I1" s="60"/>
      <c r="J1" s="60"/>
      <c r="K1" s="60"/>
      <c r="L1" s="60"/>
      <c r="M1" s="60"/>
      <c r="N1" s="60"/>
      <c r="O1" s="60"/>
      <c r="P1" s="60"/>
      <c r="Q1" s="60"/>
      <c r="R1" s="60"/>
      <c r="S1" s="60"/>
      <c r="T1" s="60"/>
      <c r="U1" s="60"/>
      <c r="V1" s="60"/>
      <c r="W1" s="60"/>
      <c r="X1" s="60"/>
      <c r="Y1" s="60"/>
      <c r="Z1" s="60"/>
      <c r="AA1" s="60"/>
      <c r="AB1" s="61"/>
      <c r="AC1" s="60"/>
      <c r="AD1" s="60"/>
      <c r="AE1" s="60"/>
    </row>
    <row r="2" spans="1:31" ht="30" customHeight="1">
      <c r="A2" s="1099"/>
      <c r="B2" s="933" t="s">
        <v>399</v>
      </c>
      <c r="C2" s="178"/>
      <c r="D2" s="178"/>
      <c r="E2" s="178"/>
      <c r="F2" s="178"/>
      <c r="G2" s="178"/>
      <c r="H2" s="178"/>
      <c r="I2" s="178"/>
      <c r="J2" s="178"/>
      <c r="K2" s="178"/>
      <c r="L2" s="178"/>
      <c r="M2" s="178"/>
      <c r="N2" s="178"/>
      <c r="O2" s="178"/>
      <c r="P2" s="179"/>
      <c r="Q2" s="179"/>
      <c r="R2" s="179"/>
      <c r="S2" s="179"/>
      <c r="T2" s="179"/>
      <c r="U2" s="179"/>
      <c r="V2" s="179"/>
      <c r="W2" s="179"/>
      <c r="X2" s="179"/>
      <c r="Y2" s="179"/>
      <c r="Z2" s="218"/>
      <c r="AA2" s="87"/>
      <c r="AB2" s="83"/>
      <c r="AC2" s="66"/>
      <c r="AD2" s="66"/>
      <c r="AE2" s="66"/>
    </row>
    <row r="3" spans="1:31" ht="15" customHeight="1">
      <c r="A3" s="1160"/>
      <c r="B3" s="1114"/>
      <c r="C3" s="67"/>
      <c r="D3" s="67"/>
      <c r="E3" s="67"/>
      <c r="F3" s="67"/>
      <c r="G3" s="67"/>
      <c r="H3" s="67"/>
      <c r="I3" s="67"/>
      <c r="J3" s="67"/>
      <c r="K3" s="67"/>
      <c r="L3" s="67"/>
      <c r="M3" s="67"/>
      <c r="N3" s="67"/>
      <c r="O3" s="67"/>
      <c r="P3" s="67"/>
      <c r="Q3" s="67"/>
      <c r="R3" s="67"/>
      <c r="S3" s="67"/>
      <c r="T3" s="67"/>
      <c r="U3" s="67"/>
      <c r="V3" s="67"/>
      <c r="W3" s="67"/>
      <c r="X3" s="67"/>
      <c r="Y3" s="67"/>
      <c r="Z3" s="1212"/>
      <c r="AA3" s="87"/>
      <c r="AB3" s="83"/>
      <c r="AC3" s="66"/>
      <c r="AD3" s="66"/>
      <c r="AE3" s="66"/>
    </row>
    <row r="4" spans="1:31" ht="35.1" customHeight="1">
      <c r="A4" s="1160"/>
      <c r="B4" s="1149" t="s">
        <v>0</v>
      </c>
      <c r="C4" s="1686" t="str">
        <f>Background!$D$2</f>
        <v>Glasgow, University of</v>
      </c>
      <c r="D4" s="1668"/>
      <c r="E4" s="1668"/>
      <c r="F4" s="1687"/>
      <c r="G4" s="1208">
        <f>VLOOKUP(Background!$C$2,Inst_Tables,6,FALSE)</f>
        <v>1</v>
      </c>
      <c r="H4" s="576"/>
      <c r="I4" s="67"/>
      <c r="J4" s="67"/>
      <c r="K4" s="67"/>
      <c r="L4" s="67"/>
      <c r="M4" s="67"/>
      <c r="N4" s="67"/>
      <c r="O4" s="67"/>
      <c r="P4" s="67"/>
      <c r="Q4" s="67"/>
      <c r="R4" s="67"/>
      <c r="S4" s="67"/>
      <c r="T4" s="67"/>
      <c r="U4" s="67"/>
      <c r="V4" s="67"/>
      <c r="W4" s="67"/>
      <c r="X4" s="67"/>
      <c r="Y4" s="67"/>
      <c r="Z4" s="1212"/>
      <c r="AA4" s="87"/>
      <c r="AB4" s="83"/>
      <c r="AC4" s="66"/>
      <c r="AD4" s="66"/>
      <c r="AE4" s="66"/>
    </row>
    <row r="5" spans="1:31" ht="30" customHeight="1">
      <c r="A5" s="1160"/>
      <c r="B5" s="1115" t="s">
        <v>398</v>
      </c>
      <c r="C5" s="87"/>
      <c r="D5" s="87"/>
      <c r="E5" s="87"/>
      <c r="F5" s="87"/>
      <c r="G5" s="87"/>
      <c r="H5" s="87"/>
      <c r="I5" s="87"/>
      <c r="J5" s="87"/>
      <c r="K5" s="87"/>
      <c r="L5" s="87"/>
      <c r="M5" s="87"/>
      <c r="N5" s="87"/>
      <c r="O5" s="87"/>
      <c r="P5" s="87"/>
      <c r="Q5" s="87"/>
      <c r="R5" s="87"/>
      <c r="S5" s="87"/>
      <c r="T5" s="87"/>
      <c r="U5" s="87"/>
      <c r="V5" s="87"/>
      <c r="W5" s="87"/>
      <c r="X5" s="87"/>
      <c r="Y5" s="87"/>
      <c r="Z5" s="95"/>
      <c r="AA5" s="87"/>
      <c r="AB5" s="83"/>
      <c r="AC5" s="66"/>
      <c r="AD5" s="66"/>
      <c r="AE5" s="66"/>
    </row>
    <row r="6" spans="1:31" ht="30" customHeight="1">
      <c r="A6" s="1160"/>
      <c r="B6" s="1116" t="s">
        <v>450</v>
      </c>
      <c r="C6" s="87"/>
      <c r="D6" s="87"/>
      <c r="E6" s="87"/>
      <c r="F6" s="87"/>
      <c r="G6" s="87"/>
      <c r="H6" s="87"/>
      <c r="I6" s="87"/>
      <c r="J6" s="87"/>
      <c r="K6" s="87"/>
      <c r="L6" s="87"/>
      <c r="M6" s="87"/>
      <c r="N6" s="87"/>
      <c r="O6" s="87"/>
      <c r="P6" s="87"/>
      <c r="Q6" s="87"/>
      <c r="R6" s="87"/>
      <c r="S6" s="87"/>
      <c r="T6" s="87"/>
      <c r="U6" s="87"/>
      <c r="V6" s="87"/>
      <c r="W6" s="87"/>
      <c r="X6" s="87"/>
      <c r="Y6" s="87"/>
      <c r="Z6" s="95"/>
      <c r="AA6" s="87"/>
      <c r="AB6" s="87"/>
      <c r="AC6" s="87"/>
      <c r="AD6" s="87"/>
      <c r="AE6" s="87"/>
    </row>
    <row r="7" spans="1:31" ht="15" customHeight="1" thickBot="1">
      <c r="A7" s="1160"/>
      <c r="B7" s="1116"/>
      <c r="C7" s="87"/>
      <c r="D7" s="87"/>
      <c r="E7" s="87"/>
      <c r="F7" s="87"/>
      <c r="G7" s="87"/>
      <c r="H7" s="87"/>
      <c r="I7" s="87"/>
      <c r="J7" s="87"/>
      <c r="K7" s="87"/>
      <c r="L7" s="87"/>
      <c r="M7" s="87"/>
      <c r="N7" s="87"/>
      <c r="O7" s="87"/>
      <c r="P7" s="87"/>
      <c r="Q7" s="87"/>
      <c r="R7" s="87"/>
      <c r="S7" s="87"/>
      <c r="T7" s="87"/>
      <c r="U7" s="87"/>
      <c r="V7" s="87"/>
      <c r="W7" s="87"/>
      <c r="X7" s="87"/>
      <c r="Y7" s="87"/>
      <c r="Z7" s="95"/>
      <c r="AA7" s="87"/>
      <c r="AB7" s="83"/>
      <c r="AC7" s="66"/>
      <c r="AD7" s="66"/>
      <c r="AE7" s="66"/>
    </row>
    <row r="8" spans="1:31" ht="35.1" customHeight="1">
      <c r="A8" s="1160"/>
      <c r="B8" s="1167"/>
      <c r="C8" s="1256" t="s">
        <v>374</v>
      </c>
      <c r="D8" s="1696" t="s">
        <v>375</v>
      </c>
      <c r="E8" s="1682"/>
      <c r="F8" s="1682"/>
      <c r="G8" s="1682"/>
      <c r="H8" s="1682"/>
      <c r="I8" s="1682"/>
      <c r="J8" s="1682"/>
      <c r="K8" s="1682"/>
      <c r="L8" s="1682"/>
      <c r="M8" s="1682"/>
      <c r="N8" s="1682"/>
      <c r="O8" s="1682"/>
      <c r="P8" s="1682"/>
      <c r="Q8" s="1682"/>
      <c r="R8" s="1682"/>
      <c r="S8" s="1682"/>
      <c r="T8" s="1682"/>
      <c r="U8" s="1682"/>
      <c r="V8" s="1682"/>
      <c r="W8" s="1683"/>
      <c r="X8" s="1169" t="s">
        <v>2</v>
      </c>
      <c r="Y8" s="1689" t="s">
        <v>385</v>
      </c>
      <c r="Z8" s="1213"/>
      <c r="AA8" s="87"/>
      <c r="AB8" s="83"/>
      <c r="AC8" s="66"/>
      <c r="AD8" s="66"/>
      <c r="AE8" s="66"/>
    </row>
    <row r="9" spans="1:31" ht="50.1" customHeight="1">
      <c r="A9" s="1160"/>
      <c r="B9" s="1164" t="s">
        <v>354</v>
      </c>
      <c r="C9" s="1175"/>
      <c r="D9" s="1177" t="s">
        <v>355</v>
      </c>
      <c r="E9" s="75" t="s">
        <v>356</v>
      </c>
      <c r="F9" s="183" t="s">
        <v>376</v>
      </c>
      <c r="G9" s="75" t="s">
        <v>358</v>
      </c>
      <c r="H9" s="75" t="s">
        <v>359</v>
      </c>
      <c r="I9" s="75" t="s">
        <v>360</v>
      </c>
      <c r="J9" s="75" t="s">
        <v>361</v>
      </c>
      <c r="K9" s="75" t="s">
        <v>362</v>
      </c>
      <c r="L9" s="75" t="s">
        <v>363</v>
      </c>
      <c r="M9" s="75" t="s">
        <v>364</v>
      </c>
      <c r="N9" s="183" t="s">
        <v>380</v>
      </c>
      <c r="O9" s="183" t="s">
        <v>382</v>
      </c>
      <c r="P9" s="183" t="s">
        <v>381</v>
      </c>
      <c r="Q9" s="183" t="s">
        <v>379</v>
      </c>
      <c r="R9" s="75" t="s">
        <v>369</v>
      </c>
      <c r="S9" s="183" t="s">
        <v>377</v>
      </c>
      <c r="T9" s="75" t="s">
        <v>373</v>
      </c>
      <c r="U9" s="183" t="s">
        <v>378</v>
      </c>
      <c r="V9" s="931" t="s">
        <v>384</v>
      </c>
      <c r="W9" s="1190" t="s">
        <v>383</v>
      </c>
      <c r="X9" s="1168"/>
      <c r="Y9" s="1690"/>
      <c r="Z9" s="1165"/>
      <c r="AA9" s="87"/>
      <c r="AB9" s="83"/>
      <c r="AC9" s="66"/>
      <c r="AD9" s="66"/>
      <c r="AE9" s="66"/>
    </row>
    <row r="10" spans="1:31" ht="30" customHeight="1">
      <c r="A10" s="1160"/>
      <c r="B10" s="1170"/>
      <c r="C10" s="1175" t="s">
        <v>32</v>
      </c>
      <c r="D10" s="1178" t="s">
        <v>32</v>
      </c>
      <c r="E10" s="235" t="s">
        <v>32</v>
      </c>
      <c r="F10" s="235" t="s">
        <v>32</v>
      </c>
      <c r="G10" s="235" t="s">
        <v>32</v>
      </c>
      <c r="H10" s="235" t="s">
        <v>32</v>
      </c>
      <c r="I10" s="235" t="s">
        <v>32</v>
      </c>
      <c r="J10" s="235" t="s">
        <v>32</v>
      </c>
      <c r="K10" s="235" t="s">
        <v>32</v>
      </c>
      <c r="L10" s="235" t="s">
        <v>32</v>
      </c>
      <c r="M10" s="235" t="s">
        <v>32</v>
      </c>
      <c r="N10" s="235" t="s">
        <v>32</v>
      </c>
      <c r="O10" s="235" t="s">
        <v>32</v>
      </c>
      <c r="P10" s="235" t="s">
        <v>32</v>
      </c>
      <c r="Q10" s="235" t="s">
        <v>32</v>
      </c>
      <c r="R10" s="235" t="s">
        <v>32</v>
      </c>
      <c r="S10" s="235" t="s">
        <v>32</v>
      </c>
      <c r="T10" s="235" t="s">
        <v>32</v>
      </c>
      <c r="U10" s="235" t="s">
        <v>32</v>
      </c>
      <c r="V10" s="236" t="s">
        <v>32</v>
      </c>
      <c r="W10" s="1176"/>
      <c r="X10" s="1176" t="s">
        <v>32</v>
      </c>
      <c r="Y10" s="1216" t="s">
        <v>32</v>
      </c>
      <c r="Z10" s="1165"/>
      <c r="AA10" s="123"/>
      <c r="AB10" s="83"/>
      <c r="AC10" s="998"/>
      <c r="AD10" s="998"/>
      <c r="AE10" s="998"/>
    </row>
    <row r="11" spans="1:31" ht="35.1" customHeight="1">
      <c r="A11" s="1160"/>
      <c r="B11" s="1170"/>
      <c r="C11" s="1175" t="s">
        <v>47</v>
      </c>
      <c r="D11" s="1179" t="s">
        <v>47</v>
      </c>
      <c r="E11" s="80" t="s">
        <v>47</v>
      </c>
      <c r="F11" s="1166" t="s">
        <v>47</v>
      </c>
      <c r="G11" s="80" t="s">
        <v>47</v>
      </c>
      <c r="H11" s="1166" t="s">
        <v>47</v>
      </c>
      <c r="I11" s="80" t="s">
        <v>47</v>
      </c>
      <c r="J11" s="1166" t="s">
        <v>47</v>
      </c>
      <c r="K11" s="80" t="s">
        <v>47</v>
      </c>
      <c r="L11" s="1166" t="s">
        <v>47</v>
      </c>
      <c r="M11" s="80" t="s">
        <v>47</v>
      </c>
      <c r="N11" s="1166" t="s">
        <v>47</v>
      </c>
      <c r="O11" s="80" t="s">
        <v>47</v>
      </c>
      <c r="P11" s="80" t="s">
        <v>47</v>
      </c>
      <c r="Q11" s="80" t="s">
        <v>47</v>
      </c>
      <c r="R11" s="80" t="s">
        <v>47</v>
      </c>
      <c r="S11" s="80" t="s">
        <v>47</v>
      </c>
      <c r="T11" s="80" t="s">
        <v>47</v>
      </c>
      <c r="U11" s="80" t="s">
        <v>47</v>
      </c>
      <c r="V11" s="81" t="s">
        <v>47</v>
      </c>
      <c r="W11" s="1189"/>
      <c r="X11" s="1168" t="s">
        <v>151</v>
      </c>
      <c r="Y11" s="1217" t="s">
        <v>151</v>
      </c>
      <c r="Z11" s="1165"/>
      <c r="AA11" s="123"/>
      <c r="AB11" s="83"/>
      <c r="AC11" s="998"/>
      <c r="AD11" s="998"/>
      <c r="AE11" s="998"/>
    </row>
    <row r="12" spans="1:31" ht="30" customHeight="1" thickBot="1">
      <c r="A12" s="1160"/>
      <c r="B12" s="1171"/>
      <c r="C12" s="353" t="s">
        <v>4</v>
      </c>
      <c r="D12" s="352" t="s">
        <v>5</v>
      </c>
      <c r="E12" s="242" t="s">
        <v>6</v>
      </c>
      <c r="F12" s="242" t="s">
        <v>7</v>
      </c>
      <c r="G12" s="242" t="s">
        <v>8</v>
      </c>
      <c r="H12" s="242" t="s">
        <v>9</v>
      </c>
      <c r="I12" s="242" t="s">
        <v>59</v>
      </c>
      <c r="J12" s="242" t="s">
        <v>60</v>
      </c>
      <c r="K12" s="242" t="s">
        <v>61</v>
      </c>
      <c r="L12" s="242" t="s">
        <v>10</v>
      </c>
      <c r="M12" s="242" t="s">
        <v>11</v>
      </c>
      <c r="N12" s="351" t="s">
        <v>12</v>
      </c>
      <c r="O12" s="242" t="s">
        <v>13</v>
      </c>
      <c r="P12" s="242" t="s">
        <v>14</v>
      </c>
      <c r="Q12" s="242" t="s">
        <v>15</v>
      </c>
      <c r="R12" s="242" t="s">
        <v>16</v>
      </c>
      <c r="S12" s="242" t="s">
        <v>17</v>
      </c>
      <c r="T12" s="242" t="s">
        <v>83</v>
      </c>
      <c r="U12" s="242" t="s">
        <v>84</v>
      </c>
      <c r="V12" s="243" t="s">
        <v>105</v>
      </c>
      <c r="W12" s="243" t="s">
        <v>106</v>
      </c>
      <c r="X12" s="243" t="s">
        <v>107</v>
      </c>
      <c r="Y12" s="353" t="s">
        <v>139</v>
      </c>
      <c r="Z12" s="1214"/>
      <c r="AA12" s="123"/>
      <c r="AB12" s="83"/>
      <c r="AC12" s="998"/>
      <c r="AD12" s="998"/>
      <c r="AE12" s="998"/>
    </row>
    <row r="13" spans="1:31" ht="24.95" customHeight="1">
      <c r="A13" s="1160"/>
      <c r="B13" s="1172" t="s">
        <v>355</v>
      </c>
      <c r="C13" s="1195">
        <v>11</v>
      </c>
      <c r="D13" s="1180"/>
      <c r="E13" s="1197"/>
      <c r="F13" s="1198"/>
      <c r="G13" s="1199"/>
      <c r="H13" s="1197"/>
      <c r="I13" s="1197"/>
      <c r="J13" s="1198"/>
      <c r="K13" s="1199"/>
      <c r="L13" s="1197"/>
      <c r="M13" s="1197"/>
      <c r="N13" s="1200"/>
      <c r="O13" s="1201"/>
      <c r="P13" s="1201"/>
      <c r="Q13" s="1201"/>
      <c r="R13" s="1201"/>
      <c r="S13" s="1201"/>
      <c r="T13" s="1201"/>
      <c r="U13" s="1201"/>
      <c r="V13" s="1202"/>
      <c r="W13" s="1225">
        <f>SUM(D13:V13)</f>
        <v>0</v>
      </c>
      <c r="X13" s="1224">
        <f>SUM(C13,W13)</f>
        <v>11</v>
      </c>
      <c r="Y13" s="1210">
        <f>C13+$D$32+W13</f>
        <v>11</v>
      </c>
      <c r="Z13" s="1215"/>
      <c r="AA13" s="87"/>
      <c r="AB13" s="83"/>
      <c r="AC13" s="998"/>
      <c r="AD13" s="998"/>
      <c r="AE13" s="998"/>
    </row>
    <row r="14" spans="1:31" ht="24.95" customHeight="1">
      <c r="A14" s="1160"/>
      <c r="B14" s="1173" t="s">
        <v>356</v>
      </c>
      <c r="C14" s="1196">
        <v>10</v>
      </c>
      <c r="D14" s="1191"/>
      <c r="E14" s="1181"/>
      <c r="F14" s="100"/>
      <c r="G14" s="100"/>
      <c r="H14" s="100"/>
      <c r="I14" s="100"/>
      <c r="J14" s="100"/>
      <c r="K14" s="100"/>
      <c r="L14" s="100"/>
      <c r="M14" s="100"/>
      <c r="N14" s="100"/>
      <c r="O14" s="1203"/>
      <c r="P14" s="1203"/>
      <c r="Q14" s="1203"/>
      <c r="R14" s="1203"/>
      <c r="S14" s="1203"/>
      <c r="T14" s="1203"/>
      <c r="U14" s="1203"/>
      <c r="V14" s="1204"/>
      <c r="W14" s="1226">
        <f t="shared" ref="W14:W31" si="0">SUM(D14:V14)</f>
        <v>0</v>
      </c>
      <c r="X14" s="1224">
        <f t="shared" ref="X14:X31" si="1">SUM(C14,W14)</f>
        <v>10</v>
      </c>
      <c r="Y14" s="1211">
        <f>C14+$E$32+W14</f>
        <v>10</v>
      </c>
      <c r="Z14" s="1215"/>
      <c r="AA14" s="87"/>
      <c r="AB14" s="83"/>
      <c r="AC14" s="998"/>
      <c r="AD14" s="998"/>
      <c r="AE14" s="998"/>
    </row>
    <row r="15" spans="1:31" ht="24.95" customHeight="1">
      <c r="A15" s="1160"/>
      <c r="B15" s="1173" t="s">
        <v>357</v>
      </c>
      <c r="C15" s="1196">
        <v>10</v>
      </c>
      <c r="D15" s="1191"/>
      <c r="E15" s="1181"/>
      <c r="F15" s="1184"/>
      <c r="G15" s="100"/>
      <c r="H15" s="100"/>
      <c r="I15" s="100"/>
      <c r="J15" s="100"/>
      <c r="K15" s="100"/>
      <c r="L15" s="100"/>
      <c r="M15" s="100"/>
      <c r="N15" s="100"/>
      <c r="O15" s="1203"/>
      <c r="P15" s="1203"/>
      <c r="Q15" s="1203"/>
      <c r="R15" s="1203"/>
      <c r="S15" s="1203"/>
      <c r="T15" s="1203"/>
      <c r="U15" s="1203"/>
      <c r="V15" s="1204"/>
      <c r="W15" s="1205">
        <f>SUM(D15:V15)</f>
        <v>0</v>
      </c>
      <c r="X15" s="1224">
        <f t="shared" si="1"/>
        <v>10</v>
      </c>
      <c r="Y15" s="1211">
        <f>C15+$F$32+W15</f>
        <v>10</v>
      </c>
      <c r="Z15" s="1215"/>
      <c r="AA15" s="87"/>
      <c r="AB15" s="83"/>
      <c r="AC15" s="998"/>
      <c r="AD15" s="998"/>
      <c r="AE15" s="998"/>
    </row>
    <row r="16" spans="1:31" ht="24.95" customHeight="1">
      <c r="A16" s="1160"/>
      <c r="B16" s="1173" t="s">
        <v>358</v>
      </c>
      <c r="C16" s="1196">
        <v>9</v>
      </c>
      <c r="D16" s="1191"/>
      <c r="E16" s="1181"/>
      <c r="F16" s="1184"/>
      <c r="G16" s="1181"/>
      <c r="H16" s="100"/>
      <c r="I16" s="100"/>
      <c r="J16" s="100"/>
      <c r="K16" s="100"/>
      <c r="L16" s="100"/>
      <c r="M16" s="100"/>
      <c r="N16" s="100"/>
      <c r="O16" s="1203"/>
      <c r="P16" s="1203"/>
      <c r="Q16" s="1203"/>
      <c r="R16" s="1203"/>
      <c r="S16" s="1203"/>
      <c r="T16" s="1203"/>
      <c r="U16" s="1203"/>
      <c r="V16" s="1204"/>
      <c r="W16" s="1226">
        <f t="shared" si="0"/>
        <v>0</v>
      </c>
      <c r="X16" s="1224">
        <f t="shared" si="1"/>
        <v>9</v>
      </c>
      <c r="Y16" s="1211">
        <f>C16+$G$32+W16</f>
        <v>9</v>
      </c>
      <c r="Z16" s="1215"/>
      <c r="AA16" s="87"/>
      <c r="AB16" s="83"/>
      <c r="AC16" s="998"/>
      <c r="AD16" s="998"/>
      <c r="AE16" s="998"/>
    </row>
    <row r="17" spans="1:31" ht="24.95" customHeight="1">
      <c r="A17" s="1160"/>
      <c r="B17" s="1173" t="s">
        <v>359</v>
      </c>
      <c r="C17" s="1196">
        <v>8</v>
      </c>
      <c r="D17" s="1191"/>
      <c r="E17" s="1181"/>
      <c r="F17" s="1184"/>
      <c r="G17" s="1181"/>
      <c r="H17" s="1184"/>
      <c r="I17" s="100"/>
      <c r="J17" s="100"/>
      <c r="K17" s="100"/>
      <c r="L17" s="100"/>
      <c r="M17" s="100"/>
      <c r="N17" s="100"/>
      <c r="O17" s="1203"/>
      <c r="P17" s="1203"/>
      <c r="Q17" s="1203"/>
      <c r="R17" s="1203"/>
      <c r="S17" s="1203"/>
      <c r="T17" s="1203"/>
      <c r="U17" s="1203"/>
      <c r="V17" s="1204"/>
      <c r="W17" s="1226">
        <f t="shared" si="0"/>
        <v>0</v>
      </c>
      <c r="X17" s="1224">
        <f t="shared" si="1"/>
        <v>8</v>
      </c>
      <c r="Y17" s="1211">
        <f>C17+$H$32+W17</f>
        <v>8</v>
      </c>
      <c r="Z17" s="1215"/>
      <c r="AA17" s="87"/>
      <c r="AB17" s="83"/>
      <c r="AC17" s="998"/>
      <c r="AD17" s="998"/>
      <c r="AE17" s="998"/>
    </row>
    <row r="18" spans="1:31" ht="24.95" customHeight="1">
      <c r="A18" s="1160"/>
      <c r="B18" s="1173" t="s">
        <v>360</v>
      </c>
      <c r="C18" s="1196"/>
      <c r="D18" s="1191"/>
      <c r="E18" s="1181"/>
      <c r="F18" s="1184"/>
      <c r="G18" s="1181"/>
      <c r="H18" s="1184"/>
      <c r="I18" s="1181"/>
      <c r="J18" s="100"/>
      <c r="K18" s="100"/>
      <c r="L18" s="100"/>
      <c r="M18" s="100"/>
      <c r="N18" s="100"/>
      <c r="O18" s="1203"/>
      <c r="P18" s="1203"/>
      <c r="Q18" s="1203"/>
      <c r="R18" s="1203"/>
      <c r="S18" s="1203"/>
      <c r="T18" s="1203"/>
      <c r="U18" s="1203"/>
      <c r="V18" s="1204"/>
      <c r="W18" s="1226">
        <f t="shared" si="0"/>
        <v>0</v>
      </c>
      <c r="X18" s="1224">
        <f t="shared" si="1"/>
        <v>0</v>
      </c>
      <c r="Y18" s="1211">
        <f>C18+$I$32+W18</f>
        <v>0</v>
      </c>
      <c r="Z18" s="1215"/>
      <c r="AA18" s="87"/>
      <c r="AB18" s="83"/>
      <c r="AC18" s="998"/>
      <c r="AD18" s="998"/>
      <c r="AE18" s="998"/>
    </row>
    <row r="19" spans="1:31" ht="24.95" customHeight="1">
      <c r="A19" s="1160"/>
      <c r="B19" s="1173" t="s">
        <v>361</v>
      </c>
      <c r="C19" s="1196">
        <v>22</v>
      </c>
      <c r="D19" s="1191"/>
      <c r="E19" s="1181"/>
      <c r="F19" s="1184"/>
      <c r="G19" s="1181"/>
      <c r="H19" s="1184"/>
      <c r="I19" s="1181"/>
      <c r="J19" s="1184"/>
      <c r="K19" s="100"/>
      <c r="L19" s="100"/>
      <c r="M19" s="100"/>
      <c r="N19" s="100"/>
      <c r="O19" s="1203"/>
      <c r="P19" s="1203"/>
      <c r="Q19" s="1203"/>
      <c r="R19" s="1203"/>
      <c r="S19" s="1203"/>
      <c r="T19" s="1203"/>
      <c r="U19" s="1203"/>
      <c r="V19" s="1204"/>
      <c r="W19" s="1226">
        <f t="shared" si="0"/>
        <v>0</v>
      </c>
      <c r="X19" s="1224">
        <f t="shared" si="1"/>
        <v>22</v>
      </c>
      <c r="Y19" s="1211">
        <f>C19+$J$32+W19</f>
        <v>22</v>
      </c>
      <c r="Z19" s="1215"/>
      <c r="AA19" s="87"/>
      <c r="AB19" s="83"/>
      <c r="AC19" s="998"/>
      <c r="AD19" s="998"/>
      <c r="AE19" s="998"/>
    </row>
    <row r="20" spans="1:31" ht="24.95" customHeight="1">
      <c r="A20" s="1160"/>
      <c r="B20" s="1173" t="s">
        <v>362</v>
      </c>
      <c r="C20" s="1196"/>
      <c r="D20" s="1191"/>
      <c r="E20" s="1181"/>
      <c r="F20" s="1184"/>
      <c r="G20" s="1181"/>
      <c r="H20" s="1184"/>
      <c r="I20" s="1181"/>
      <c r="J20" s="1184"/>
      <c r="K20" s="1181"/>
      <c r="L20" s="100"/>
      <c r="M20" s="100"/>
      <c r="N20" s="100"/>
      <c r="O20" s="1203"/>
      <c r="P20" s="1203"/>
      <c r="Q20" s="1203"/>
      <c r="R20" s="1203"/>
      <c r="S20" s="1203"/>
      <c r="T20" s="1203"/>
      <c r="U20" s="1203"/>
      <c r="V20" s="1204"/>
      <c r="W20" s="1226">
        <f t="shared" si="0"/>
        <v>0</v>
      </c>
      <c r="X20" s="1224">
        <f t="shared" si="1"/>
        <v>0</v>
      </c>
      <c r="Y20" s="1211">
        <f>C20+$K$32+W20</f>
        <v>0</v>
      </c>
      <c r="Z20" s="1215"/>
      <c r="AA20" s="87"/>
      <c r="AB20" s="83"/>
      <c r="AC20" s="998"/>
      <c r="AD20" s="998"/>
      <c r="AE20" s="998"/>
    </row>
    <row r="21" spans="1:31" ht="24.95" customHeight="1">
      <c r="A21" s="1160"/>
      <c r="B21" s="1173" t="s">
        <v>363</v>
      </c>
      <c r="C21" s="1196">
        <v>8</v>
      </c>
      <c r="D21" s="1191"/>
      <c r="E21" s="1181"/>
      <c r="F21" s="1184"/>
      <c r="G21" s="1181"/>
      <c r="H21" s="1184"/>
      <c r="I21" s="1181"/>
      <c r="J21" s="1184"/>
      <c r="K21" s="1181"/>
      <c r="L21" s="1184"/>
      <c r="M21" s="100"/>
      <c r="N21" s="100"/>
      <c r="O21" s="1203"/>
      <c r="P21" s="1203"/>
      <c r="Q21" s="1203"/>
      <c r="R21" s="1203"/>
      <c r="S21" s="1203"/>
      <c r="T21" s="1203"/>
      <c r="U21" s="1203"/>
      <c r="V21" s="1204"/>
      <c r="W21" s="1226">
        <f t="shared" si="0"/>
        <v>0</v>
      </c>
      <c r="X21" s="1224">
        <f t="shared" si="1"/>
        <v>8</v>
      </c>
      <c r="Y21" s="1211">
        <f>C21+$L$32+W21</f>
        <v>8</v>
      </c>
      <c r="Z21" s="1215"/>
      <c r="AA21" s="87"/>
      <c r="AB21" s="83"/>
      <c r="AC21" s="998"/>
      <c r="AD21" s="998"/>
      <c r="AE21" s="998"/>
    </row>
    <row r="22" spans="1:31" ht="24.95" customHeight="1">
      <c r="A22" s="1160"/>
      <c r="B22" s="1173" t="s">
        <v>364</v>
      </c>
      <c r="C22" s="1196">
        <v>8</v>
      </c>
      <c r="D22" s="1191"/>
      <c r="E22" s="1181"/>
      <c r="F22" s="1184"/>
      <c r="G22" s="1181"/>
      <c r="H22" s="1184"/>
      <c r="I22" s="1181"/>
      <c r="J22" s="1184"/>
      <c r="K22" s="1181"/>
      <c r="L22" s="1184"/>
      <c r="M22" s="1181"/>
      <c r="N22" s="100"/>
      <c r="O22" s="1203"/>
      <c r="P22" s="1203"/>
      <c r="Q22" s="1203"/>
      <c r="R22" s="1203"/>
      <c r="S22" s="1203"/>
      <c r="T22" s="1203"/>
      <c r="U22" s="1203"/>
      <c r="V22" s="1204"/>
      <c r="W22" s="1226">
        <f t="shared" si="0"/>
        <v>0</v>
      </c>
      <c r="X22" s="1224">
        <f t="shared" si="1"/>
        <v>8</v>
      </c>
      <c r="Y22" s="1211">
        <f>C22+$M$32+W22</f>
        <v>8</v>
      </c>
      <c r="Z22" s="1215"/>
      <c r="AA22" s="87"/>
      <c r="AB22" s="83"/>
      <c r="AC22" s="998"/>
      <c r="AD22" s="998"/>
      <c r="AE22" s="998"/>
    </row>
    <row r="23" spans="1:31" ht="24.95" customHeight="1">
      <c r="A23" s="1160"/>
      <c r="B23" s="1173" t="s">
        <v>365</v>
      </c>
      <c r="C23" s="1196"/>
      <c r="D23" s="1191"/>
      <c r="E23" s="1181"/>
      <c r="F23" s="1184"/>
      <c r="G23" s="1181"/>
      <c r="H23" s="1184"/>
      <c r="I23" s="1181"/>
      <c r="J23" s="1184"/>
      <c r="K23" s="1181"/>
      <c r="L23" s="1184"/>
      <c r="M23" s="1181"/>
      <c r="N23" s="1184"/>
      <c r="O23" s="1203"/>
      <c r="P23" s="1203"/>
      <c r="Q23" s="1203"/>
      <c r="R23" s="1203"/>
      <c r="S23" s="1203"/>
      <c r="T23" s="1203"/>
      <c r="U23" s="1203"/>
      <c r="V23" s="1204"/>
      <c r="W23" s="1226">
        <f t="shared" si="0"/>
        <v>0</v>
      </c>
      <c r="X23" s="1224">
        <f t="shared" si="1"/>
        <v>0</v>
      </c>
      <c r="Y23" s="1211">
        <f>C23+$N$32+W23</f>
        <v>0</v>
      </c>
      <c r="Z23" s="1215"/>
      <c r="AA23" s="87"/>
      <c r="AB23" s="83"/>
      <c r="AC23" s="998"/>
      <c r="AD23" s="998"/>
      <c r="AE23" s="998"/>
    </row>
    <row r="24" spans="1:31" ht="24.95" customHeight="1">
      <c r="A24" s="1160"/>
      <c r="B24" s="1173" t="s">
        <v>366</v>
      </c>
      <c r="C24" s="1196">
        <v>21</v>
      </c>
      <c r="D24" s="1191"/>
      <c r="E24" s="1181"/>
      <c r="F24" s="1184"/>
      <c r="G24" s="1181"/>
      <c r="H24" s="1184"/>
      <c r="I24" s="1181"/>
      <c r="J24" s="1184"/>
      <c r="K24" s="1181"/>
      <c r="L24" s="1184"/>
      <c r="M24" s="1181"/>
      <c r="N24" s="1184"/>
      <c r="O24" s="1186"/>
      <c r="P24" s="1203"/>
      <c r="Q24" s="1203"/>
      <c r="R24" s="1203"/>
      <c r="S24" s="1203"/>
      <c r="T24" s="1203"/>
      <c r="U24" s="1203"/>
      <c r="V24" s="1204"/>
      <c r="W24" s="1226">
        <f t="shared" si="0"/>
        <v>0</v>
      </c>
      <c r="X24" s="1224">
        <f t="shared" si="1"/>
        <v>21</v>
      </c>
      <c r="Y24" s="1211">
        <f>C24+$O$32+W24</f>
        <v>21</v>
      </c>
      <c r="Z24" s="1215"/>
      <c r="AA24" s="87"/>
      <c r="AB24" s="83"/>
      <c r="AC24" s="998"/>
      <c r="AD24" s="998"/>
      <c r="AE24" s="998"/>
    </row>
    <row r="25" spans="1:31" ht="24.95" customHeight="1">
      <c r="A25" s="1160"/>
      <c r="B25" s="1173" t="s">
        <v>367</v>
      </c>
      <c r="C25" s="1196">
        <v>28</v>
      </c>
      <c r="D25" s="1191"/>
      <c r="E25" s="1181"/>
      <c r="F25" s="1182"/>
      <c r="G25" s="1183"/>
      <c r="H25" s="1184"/>
      <c r="I25" s="1181"/>
      <c r="J25" s="1182"/>
      <c r="K25" s="1183"/>
      <c r="L25" s="1184"/>
      <c r="M25" s="1181"/>
      <c r="N25" s="1185"/>
      <c r="O25" s="1186"/>
      <c r="P25" s="1187"/>
      <c r="Q25" s="1203"/>
      <c r="R25" s="1203"/>
      <c r="S25" s="1203"/>
      <c r="T25" s="1203"/>
      <c r="U25" s="1203"/>
      <c r="V25" s="1204"/>
      <c r="W25" s="1226">
        <f t="shared" si="0"/>
        <v>0</v>
      </c>
      <c r="X25" s="1224">
        <f t="shared" si="1"/>
        <v>28</v>
      </c>
      <c r="Y25" s="1211">
        <f>C25+$P$32+W25</f>
        <v>28</v>
      </c>
      <c r="Z25" s="1215"/>
      <c r="AA25" s="87"/>
      <c r="AB25" s="83"/>
      <c r="AC25" s="998"/>
      <c r="AD25" s="998"/>
      <c r="AE25" s="998"/>
    </row>
    <row r="26" spans="1:31" ht="24.95" customHeight="1">
      <c r="A26" s="1160"/>
      <c r="B26" s="1173" t="s">
        <v>368</v>
      </c>
      <c r="C26" s="1196">
        <v>7</v>
      </c>
      <c r="D26" s="1191"/>
      <c r="E26" s="1181"/>
      <c r="F26" s="1182"/>
      <c r="G26" s="1183"/>
      <c r="H26" s="1184"/>
      <c r="I26" s="1181"/>
      <c r="J26" s="1182"/>
      <c r="K26" s="1183"/>
      <c r="L26" s="1184"/>
      <c r="M26" s="1181"/>
      <c r="N26" s="1185"/>
      <c r="O26" s="1186"/>
      <c r="P26" s="1187"/>
      <c r="Q26" s="1187"/>
      <c r="R26" s="1203"/>
      <c r="S26" s="1203"/>
      <c r="T26" s="1203"/>
      <c r="U26" s="1203"/>
      <c r="V26" s="1204"/>
      <c r="W26" s="1226">
        <f t="shared" si="0"/>
        <v>0</v>
      </c>
      <c r="X26" s="1224">
        <f t="shared" si="1"/>
        <v>7</v>
      </c>
      <c r="Y26" s="1211">
        <f>C26+$Q$32+W26</f>
        <v>7</v>
      </c>
      <c r="Z26" s="1215"/>
      <c r="AA26" s="87"/>
      <c r="AB26" s="83"/>
      <c r="AC26" s="998"/>
      <c r="AD26" s="998"/>
      <c r="AE26" s="998"/>
    </row>
    <row r="27" spans="1:31" ht="24.95" customHeight="1" thickBot="1">
      <c r="A27" s="1160"/>
      <c r="B27" s="1173" t="s">
        <v>369</v>
      </c>
      <c r="C27" s="1196"/>
      <c r="D27" s="1191"/>
      <c r="E27" s="1181"/>
      <c r="F27" s="1182"/>
      <c r="G27" s="1183"/>
      <c r="H27" s="1184"/>
      <c r="I27" s="1181"/>
      <c r="J27" s="1182"/>
      <c r="K27" s="1183"/>
      <c r="L27" s="1184"/>
      <c r="M27" s="1181"/>
      <c r="N27" s="1185"/>
      <c r="O27" s="1186"/>
      <c r="P27" s="1187"/>
      <c r="Q27" s="1187"/>
      <c r="R27" s="1187"/>
      <c r="S27" s="1203"/>
      <c r="T27" s="1203"/>
      <c r="U27" s="1203"/>
      <c r="V27" s="1204"/>
      <c r="W27" s="1226">
        <f t="shared" si="0"/>
        <v>0</v>
      </c>
      <c r="X27" s="1224">
        <f t="shared" si="1"/>
        <v>0</v>
      </c>
      <c r="Y27" s="1211">
        <f>C27+$R$32+W27</f>
        <v>0</v>
      </c>
      <c r="Z27" s="1215"/>
      <c r="AA27" s="87"/>
      <c r="AB27" s="580"/>
      <c r="AC27" s="580"/>
      <c r="AD27" s="580"/>
      <c r="AE27" s="998"/>
    </row>
    <row r="28" spans="1:31" ht="24.95" customHeight="1">
      <c r="A28" s="1160"/>
      <c r="B28" s="1173" t="s">
        <v>370</v>
      </c>
      <c r="C28" s="1196"/>
      <c r="D28" s="1191"/>
      <c r="E28" s="1181"/>
      <c r="F28" s="1182"/>
      <c r="G28" s="1183"/>
      <c r="H28" s="1184"/>
      <c r="I28" s="1181"/>
      <c r="J28" s="1182"/>
      <c r="K28" s="1183"/>
      <c r="L28" s="1184"/>
      <c r="M28" s="1181"/>
      <c r="N28" s="1185"/>
      <c r="O28" s="1186"/>
      <c r="P28" s="1187"/>
      <c r="Q28" s="1187"/>
      <c r="R28" s="1187"/>
      <c r="S28" s="1187"/>
      <c r="T28" s="1203"/>
      <c r="U28" s="1203"/>
      <c r="V28" s="1204"/>
      <c r="W28" s="1226">
        <f t="shared" si="0"/>
        <v>0</v>
      </c>
      <c r="X28" s="1224">
        <f t="shared" si="1"/>
        <v>0</v>
      </c>
      <c r="Y28" s="1211">
        <f>C28+$S$32+W28</f>
        <v>0</v>
      </c>
      <c r="Z28" s="1215"/>
      <c r="AA28" s="87"/>
      <c r="AB28" s="1691" t="s">
        <v>387</v>
      </c>
      <c r="AC28" s="1692"/>
      <c r="AD28" s="1693"/>
      <c r="AE28" s="998"/>
    </row>
    <row r="29" spans="1:31" ht="24.95" customHeight="1">
      <c r="A29" s="1160"/>
      <c r="B29" s="1173" t="s">
        <v>373</v>
      </c>
      <c r="C29" s="1196">
        <v>8</v>
      </c>
      <c r="D29" s="1191"/>
      <c r="E29" s="1181"/>
      <c r="F29" s="1182"/>
      <c r="G29" s="1183"/>
      <c r="H29" s="1184"/>
      <c r="I29" s="1181"/>
      <c r="J29" s="1182"/>
      <c r="K29" s="1183"/>
      <c r="L29" s="1184"/>
      <c r="M29" s="1181"/>
      <c r="N29" s="1185"/>
      <c r="O29" s="1186"/>
      <c r="P29" s="1187"/>
      <c r="Q29" s="1187"/>
      <c r="R29" s="1187"/>
      <c r="S29" s="1187"/>
      <c r="T29" s="1187"/>
      <c r="U29" s="1203"/>
      <c r="V29" s="1204"/>
      <c r="W29" s="1226">
        <f t="shared" si="0"/>
        <v>0</v>
      </c>
      <c r="X29" s="1224">
        <f t="shared" si="1"/>
        <v>8</v>
      </c>
      <c r="Y29" s="1211">
        <f>C29+$T$32+W29</f>
        <v>8</v>
      </c>
      <c r="Z29" s="1215"/>
      <c r="AA29" s="87"/>
      <c r="AB29" s="1222" t="s">
        <v>388</v>
      </c>
      <c r="AC29" s="1694" t="s">
        <v>389</v>
      </c>
      <c r="AD29" s="1223" t="s">
        <v>99</v>
      </c>
      <c r="AE29" s="998"/>
    </row>
    <row r="30" spans="1:31" ht="24.95" customHeight="1">
      <c r="A30" s="1160"/>
      <c r="B30" s="1173" t="s">
        <v>371</v>
      </c>
      <c r="C30" s="1196">
        <v>7</v>
      </c>
      <c r="D30" s="1191"/>
      <c r="E30" s="1181"/>
      <c r="F30" s="1182"/>
      <c r="G30" s="1183"/>
      <c r="H30" s="1184"/>
      <c r="I30" s="1181"/>
      <c r="J30" s="1182"/>
      <c r="K30" s="1183"/>
      <c r="L30" s="1184"/>
      <c r="M30" s="1181"/>
      <c r="N30" s="1185"/>
      <c r="O30" s="1186"/>
      <c r="P30" s="1187"/>
      <c r="Q30" s="1187"/>
      <c r="R30" s="1187"/>
      <c r="S30" s="1187"/>
      <c r="T30" s="1187"/>
      <c r="U30" s="1187"/>
      <c r="V30" s="1202"/>
      <c r="W30" s="1226">
        <f t="shared" si="0"/>
        <v>0</v>
      </c>
      <c r="X30" s="1224">
        <f t="shared" si="1"/>
        <v>7</v>
      </c>
      <c r="Y30" s="1211">
        <f>C30+$U$32+W30</f>
        <v>7</v>
      </c>
      <c r="Z30" s="1215"/>
      <c r="AA30" s="87"/>
      <c r="AB30" s="1220"/>
      <c r="AC30" s="1695"/>
      <c r="AD30" s="1221"/>
      <c r="AE30" s="998"/>
    </row>
    <row r="31" spans="1:31" ht="24.95" customHeight="1">
      <c r="A31" s="1160"/>
      <c r="B31" s="1173" t="s">
        <v>372</v>
      </c>
      <c r="C31" s="1196"/>
      <c r="D31" s="1191"/>
      <c r="E31" s="1181"/>
      <c r="F31" s="1182"/>
      <c r="G31" s="1183"/>
      <c r="H31" s="1184"/>
      <c r="I31" s="1181"/>
      <c r="J31" s="1182"/>
      <c r="K31" s="1183"/>
      <c r="L31" s="1184"/>
      <c r="M31" s="1181"/>
      <c r="N31" s="1185"/>
      <c r="O31" s="1186"/>
      <c r="P31" s="1187"/>
      <c r="Q31" s="1187"/>
      <c r="R31" s="1187"/>
      <c r="S31" s="1187"/>
      <c r="T31" s="1187"/>
      <c r="U31" s="1187"/>
      <c r="V31" s="1188"/>
      <c r="W31" s="1227">
        <f t="shared" si="0"/>
        <v>0</v>
      </c>
      <c r="X31" s="1224">
        <f t="shared" si="1"/>
        <v>0</v>
      </c>
      <c r="Y31" s="1211">
        <f>C31+$V$32+W31</f>
        <v>0</v>
      </c>
      <c r="Z31" s="1215"/>
      <c r="AA31" s="87"/>
      <c r="AB31" s="1220"/>
      <c r="AC31" s="1695"/>
      <c r="AD31" s="1221"/>
      <c r="AE31" s="998"/>
    </row>
    <row r="32" spans="1:31" ht="30" customHeight="1" thickBot="1">
      <c r="A32" s="1160"/>
      <c r="B32" s="1174" t="s">
        <v>2</v>
      </c>
      <c r="C32" s="1192">
        <f>SUM(C13:C31)</f>
        <v>157</v>
      </c>
      <c r="D32" s="1219">
        <f>SUM(D13:D31)</f>
        <v>0</v>
      </c>
      <c r="E32" s="1206">
        <f t="shared" ref="E32:U32" si="2">SUM(E13:E31)</f>
        <v>0</v>
      </c>
      <c r="F32" s="1206">
        <f t="shared" si="2"/>
        <v>0</v>
      </c>
      <c r="G32" s="1206">
        <f t="shared" si="2"/>
        <v>0</v>
      </c>
      <c r="H32" s="1206">
        <f t="shared" si="2"/>
        <v>0</v>
      </c>
      <c r="I32" s="1206">
        <f t="shared" si="2"/>
        <v>0</v>
      </c>
      <c r="J32" s="1206">
        <f t="shared" si="2"/>
        <v>0</v>
      </c>
      <c r="K32" s="1206">
        <f t="shared" si="2"/>
        <v>0</v>
      </c>
      <c r="L32" s="1206">
        <f t="shared" si="2"/>
        <v>0</v>
      </c>
      <c r="M32" s="1206">
        <f t="shared" si="2"/>
        <v>0</v>
      </c>
      <c r="N32" s="1206">
        <f t="shared" si="2"/>
        <v>0</v>
      </c>
      <c r="O32" s="1206">
        <f t="shared" si="2"/>
        <v>0</v>
      </c>
      <c r="P32" s="1206">
        <f t="shared" si="2"/>
        <v>0</v>
      </c>
      <c r="Q32" s="1206">
        <f t="shared" si="2"/>
        <v>0</v>
      </c>
      <c r="R32" s="1206">
        <f t="shared" si="2"/>
        <v>0</v>
      </c>
      <c r="S32" s="1206">
        <f t="shared" si="2"/>
        <v>0</v>
      </c>
      <c r="T32" s="1206">
        <f t="shared" si="2"/>
        <v>0</v>
      </c>
      <c r="U32" s="1206">
        <f t="shared" si="2"/>
        <v>0</v>
      </c>
      <c r="V32" s="1206">
        <f>SUM(V13:V31)</f>
        <v>0</v>
      </c>
      <c r="W32" s="1193">
        <f>SUM(W13:W31)</f>
        <v>0</v>
      </c>
      <c r="X32" s="1193">
        <f>SUM(X13:X31)</f>
        <v>157</v>
      </c>
      <c r="Y32" s="1209"/>
      <c r="Z32" s="1215"/>
      <c r="AA32" s="87"/>
      <c r="AB32" s="1194">
        <f>'Table 2a (ITE)'!C25</f>
        <v>157</v>
      </c>
      <c r="AC32" s="1228">
        <f>X32-AB32</f>
        <v>0</v>
      </c>
      <c r="AD32" s="1229" t="str">
        <f>IF(ABS(AC32)&gt;0.1,"Does not equal Table 2a","OK")</f>
        <v>OK</v>
      </c>
      <c r="AE32" s="998"/>
    </row>
    <row r="33" spans="1:31" ht="30" customHeight="1">
      <c r="A33" s="977"/>
      <c r="B33" s="1218" t="s">
        <v>386</v>
      </c>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7"/>
      <c r="AA33" s="87"/>
      <c r="AB33" s="83"/>
      <c r="AC33" s="998"/>
      <c r="AD33" s="998"/>
      <c r="AE33" s="998"/>
    </row>
    <row r="34" spans="1:31" ht="30" customHeight="1">
      <c r="A34" s="580"/>
      <c r="B34" s="1124"/>
      <c r="C34" s="87"/>
      <c r="D34" s="87"/>
      <c r="E34" s="87"/>
      <c r="F34" s="87"/>
      <c r="G34" s="87"/>
      <c r="H34" s="87"/>
      <c r="I34" s="87"/>
      <c r="J34" s="87"/>
      <c r="K34" s="87"/>
      <c r="L34" s="87"/>
      <c r="M34" s="87"/>
      <c r="N34" s="87"/>
      <c r="O34" s="87"/>
      <c r="P34" s="178"/>
      <c r="Q34" s="178"/>
      <c r="R34" s="178"/>
      <c r="S34" s="178"/>
      <c r="T34" s="178"/>
      <c r="U34" s="178"/>
      <c r="V34" s="178"/>
      <c r="W34" s="178"/>
      <c r="X34" s="178"/>
      <c r="Y34" s="178"/>
      <c r="Z34" s="87"/>
      <c r="AA34" s="87"/>
      <c r="AB34" s="83"/>
      <c r="AC34" s="998"/>
      <c r="AD34" s="998"/>
      <c r="AE34" s="998"/>
    </row>
    <row r="35" spans="1:31" ht="9.9499999999999993" customHeight="1">
      <c r="A35" s="580"/>
      <c r="B35" s="111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3"/>
      <c r="AC35" s="998"/>
      <c r="AD35" s="998"/>
      <c r="AE35" s="998"/>
    </row>
    <row r="36" spans="1:31" ht="45" customHeight="1">
      <c r="A36" s="580"/>
      <c r="B36" s="208"/>
      <c r="C36" s="208"/>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83"/>
      <c r="AC36" s="1207"/>
      <c r="AD36" s="1207"/>
      <c r="AE36" s="1207"/>
    </row>
    <row r="37" spans="1:31" ht="45" customHeight="1">
      <c r="A37" s="580"/>
      <c r="B37" s="83"/>
      <c r="C37" s="213"/>
      <c r="D37" s="21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1207"/>
      <c r="AD37" s="1207"/>
      <c r="AE37" s="1207"/>
    </row>
    <row r="38" spans="1:31" ht="33.75" customHeight="1">
      <c r="A38" s="580"/>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7"/>
      <c r="AD38" s="217"/>
      <c r="AE38" s="217"/>
    </row>
    <row r="39" spans="1:31" ht="12.75" customHeight="1">
      <c r="B39" s="1554"/>
      <c r="C39" s="1560"/>
      <c r="D39" s="1560"/>
      <c r="E39" s="1560"/>
      <c r="F39" s="1560"/>
      <c r="G39" s="1560"/>
      <c r="H39" s="1560"/>
      <c r="I39" s="1560"/>
      <c r="J39" s="1560"/>
      <c r="K39" s="1560"/>
      <c r="L39" s="1560"/>
      <c r="M39" s="1560"/>
      <c r="N39" s="1560"/>
    </row>
    <row r="40" spans="1:31">
      <c r="C40" s="1560"/>
      <c r="D40" s="1560"/>
      <c r="E40" s="1560"/>
      <c r="F40" s="1560"/>
      <c r="G40" s="1560"/>
      <c r="H40" s="1560"/>
      <c r="I40" s="1560"/>
      <c r="J40" s="1560"/>
      <c r="K40" s="1560"/>
      <c r="L40" s="1560"/>
      <c r="M40" s="1560"/>
      <c r="N40" s="1560"/>
      <c r="AC40" s="1563"/>
    </row>
    <row r="41" spans="1:31">
      <c r="C41" s="1560"/>
      <c r="D41" s="1560"/>
      <c r="E41" s="1560"/>
      <c r="F41" s="1560"/>
      <c r="G41" s="1560"/>
      <c r="H41" s="1560"/>
      <c r="I41" s="1560"/>
      <c r="J41" s="1560"/>
      <c r="K41" s="1560"/>
      <c r="L41" s="1560"/>
      <c r="M41" s="1560"/>
      <c r="N41" s="1560"/>
    </row>
  </sheetData>
  <sheetProtection password="E23E" sheet="1" objects="1" scenarios="1"/>
  <mergeCells count="5">
    <mergeCell ref="Y8:Y9"/>
    <mergeCell ref="AB28:AD28"/>
    <mergeCell ref="AC29:AC31"/>
    <mergeCell ref="C4:F4"/>
    <mergeCell ref="D8:W8"/>
  </mergeCells>
  <conditionalFormatting sqref="E13:V13">
    <cfRule type="expression" dxfId="124" priority="24">
      <formula>$G$4=0</formula>
    </cfRule>
  </conditionalFormatting>
  <conditionalFormatting sqref="U14:U29">
    <cfRule type="expression" dxfId="123" priority="18">
      <formula>$G$4=0</formula>
    </cfRule>
  </conditionalFormatting>
  <conditionalFormatting sqref="S14:S27">
    <cfRule type="expression" dxfId="122" priority="16">
      <formula>$G$4=0</formula>
    </cfRule>
  </conditionalFormatting>
  <conditionalFormatting sqref="V14:V30">
    <cfRule type="expression" dxfId="121" priority="19">
      <formula>$G$4=0</formula>
    </cfRule>
  </conditionalFormatting>
  <conditionalFormatting sqref="T14:T28">
    <cfRule type="expression" dxfId="120" priority="17">
      <formula>$G$4=0</formula>
    </cfRule>
  </conditionalFormatting>
  <conditionalFormatting sqref="R14:R26">
    <cfRule type="expression" dxfId="119" priority="15">
      <formula>$G$4=0</formula>
    </cfRule>
  </conditionalFormatting>
  <conditionalFormatting sqref="Q14:Q25">
    <cfRule type="expression" dxfId="118" priority="14">
      <formula>$G$4=0</formula>
    </cfRule>
  </conditionalFormatting>
  <conditionalFormatting sqref="P14:P24">
    <cfRule type="expression" dxfId="117" priority="13">
      <formula>$G$4=0</formula>
    </cfRule>
  </conditionalFormatting>
  <conditionalFormatting sqref="O14:O23">
    <cfRule type="expression" dxfId="116" priority="12">
      <formula>$G$4=0</formula>
    </cfRule>
  </conditionalFormatting>
  <conditionalFormatting sqref="F14">
    <cfRule type="expression" dxfId="115" priority="3">
      <formula>$G$4=0</formula>
    </cfRule>
  </conditionalFormatting>
  <conditionalFormatting sqref="N14:N22">
    <cfRule type="expression" dxfId="114" priority="11">
      <formula>$G$4=0</formula>
    </cfRule>
  </conditionalFormatting>
  <conditionalFormatting sqref="M14:M21">
    <cfRule type="expression" dxfId="113" priority="10">
      <formula>$G$4=0</formula>
    </cfRule>
  </conditionalFormatting>
  <conditionalFormatting sqref="L14:L20">
    <cfRule type="expression" dxfId="112" priority="9">
      <formula>$G$4=0</formula>
    </cfRule>
  </conditionalFormatting>
  <conditionalFormatting sqref="K14:K19">
    <cfRule type="expression" dxfId="111" priority="8">
      <formula>$G$4=0</formula>
    </cfRule>
  </conditionalFormatting>
  <conditionalFormatting sqref="J14:J18">
    <cfRule type="expression" dxfId="110" priority="7">
      <formula>$G$4=0</formula>
    </cfRule>
  </conditionalFormatting>
  <conditionalFormatting sqref="I14:I17">
    <cfRule type="expression" dxfId="109" priority="6">
      <formula>$G$4=0</formula>
    </cfRule>
  </conditionalFormatting>
  <conditionalFormatting sqref="H14:H16">
    <cfRule type="expression" dxfId="108" priority="5">
      <formula>$G$4=0</formula>
    </cfRule>
  </conditionalFormatting>
  <conditionalFormatting sqref="G14:G15">
    <cfRule type="expression" dxfId="107" priority="4">
      <formula>$G$4=0</formula>
    </cfRule>
  </conditionalFormatting>
  <conditionalFormatting sqref="A1:AE1">
    <cfRule type="expression" dxfId="106" priority="2">
      <formula>$G$4=0</formula>
    </cfRule>
  </conditionalFormatting>
  <conditionalFormatting sqref="C13:C31">
    <cfRule type="expression" dxfId="105" priority="1">
      <formula>$G$4=0</formula>
    </cfRule>
  </conditionalFormatting>
  <dataValidations count="2">
    <dataValidation allowBlank="1" sqref="AC36:AE38 C12:Z12"/>
    <dataValidation type="custom" allowBlank="1" showErrorMessage="1" errorTitle="Number less than 0" error="You are trying to enter a number which is less than 0, please re-enter a valid number." sqref="C13:D32 E13:N31 E32:X32">
      <formula1>C13&gt;=0</formula1>
    </dataValidation>
  </dataValidations>
  <printOptions horizontalCentered="1" verticalCentered="1"/>
  <pageMargins left="0.19685039370078741" right="0.19685039370078741" top="0.19685039370078741" bottom="0.39370078740157483" header="0" footer="0"/>
  <pageSetup paperSize="9" scale="4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P41"/>
  <sheetViews>
    <sheetView zoomScale="80" zoomScaleNormal="80" workbookViewId="0"/>
  </sheetViews>
  <sheetFormatPr defaultColWidth="9.7109375" defaultRowHeight="15"/>
  <cols>
    <col min="1" max="1" width="2.7109375" style="1564" customWidth="1"/>
    <col min="2" max="2" width="56.7109375" style="1564" customWidth="1"/>
    <col min="3" max="15" width="12.7109375" style="1564" customWidth="1"/>
    <col min="16" max="16" width="12.7109375" style="1565" customWidth="1"/>
    <col min="17" max="18" width="2.7109375" style="1564" customWidth="1"/>
    <col min="19" max="19" width="23.7109375" style="1564" customWidth="1"/>
    <col min="20" max="20" width="30.7109375" style="1564" customWidth="1"/>
    <col min="21" max="22" width="12.7109375" style="1564" customWidth="1"/>
    <col min="23" max="23" width="35.7109375" style="1564" customWidth="1"/>
    <col min="24" max="24" width="8.7109375" style="1564" customWidth="1"/>
    <col min="25" max="25" width="23.7109375" style="1564" customWidth="1"/>
    <col min="26" max="26" width="30.7109375" style="1564" customWidth="1"/>
    <col min="27" max="28" width="12.7109375" style="1564" customWidth="1"/>
    <col min="29" max="29" width="35.7109375" style="1564" customWidth="1"/>
    <col min="30" max="31" width="12.7109375" style="1564" customWidth="1"/>
    <col min="32" max="33" width="9.7109375" style="1564" customWidth="1"/>
    <col min="34" max="37" width="14.7109375" style="1564" hidden="1" customWidth="1"/>
    <col min="38" max="38" width="8.7109375" style="1564" hidden="1" customWidth="1"/>
    <col min="39" max="42" width="14.7109375" style="1564" hidden="1" customWidth="1"/>
    <col min="43" max="257" width="9.7109375" style="1564" customWidth="1"/>
    <col min="258" max="16384" width="9.7109375" style="1564"/>
  </cols>
  <sheetData>
    <row r="1" spans="1:42" ht="39.950000000000003" customHeight="1">
      <c r="A1" s="1135"/>
      <c r="B1" s="630" t="str">
        <f>IF(F4=0,"Your Institution Does Not Complete This Table","")</f>
        <v/>
      </c>
      <c r="C1" s="757"/>
      <c r="D1" s="757"/>
      <c r="E1" s="757"/>
      <c r="F1" s="757"/>
      <c r="G1" s="757"/>
      <c r="H1" s="757"/>
      <c r="I1" s="757"/>
      <c r="J1" s="757"/>
      <c r="K1" s="757"/>
      <c r="L1" s="757"/>
      <c r="M1" s="757"/>
      <c r="N1" s="757"/>
      <c r="O1" s="757"/>
      <c r="P1" s="758"/>
      <c r="Q1" s="757"/>
      <c r="R1" s="757"/>
      <c r="S1" s="757"/>
      <c r="T1" s="757"/>
      <c r="U1" s="757"/>
      <c r="V1" s="757"/>
      <c r="W1" s="757"/>
      <c r="X1" s="757"/>
      <c r="Y1" s="757"/>
      <c r="Z1" s="757"/>
      <c r="AA1" s="757"/>
      <c r="AB1" s="757"/>
      <c r="AC1" s="757"/>
      <c r="AD1" s="757"/>
      <c r="AE1" s="757"/>
    </row>
    <row r="2" spans="1:42" s="1567" customFormat="1" ht="30" customHeight="1">
      <c r="A2" s="1141"/>
      <c r="B2" s="933" t="s">
        <v>280</v>
      </c>
      <c r="C2" s="759"/>
      <c r="D2" s="759"/>
      <c r="E2" s="759"/>
      <c r="F2" s="759"/>
      <c r="G2" s="759"/>
      <c r="H2" s="759"/>
      <c r="I2" s="759"/>
      <c r="J2" s="759"/>
      <c r="K2" s="759"/>
      <c r="L2" s="759"/>
      <c r="M2" s="760"/>
      <c r="N2" s="760"/>
      <c r="O2" s="761"/>
      <c r="P2" s="762"/>
      <c r="Q2" s="763"/>
      <c r="R2" s="764"/>
      <c r="S2" s="765"/>
      <c r="T2" s="765"/>
      <c r="U2" s="765"/>
      <c r="V2" s="765"/>
      <c r="W2" s="765"/>
      <c r="X2" s="765"/>
      <c r="Y2" s="765"/>
      <c r="Z2" s="765"/>
      <c r="AA2" s="765"/>
      <c r="AB2" s="765"/>
      <c r="AC2" s="765"/>
      <c r="AD2" s="765"/>
      <c r="AE2" s="765"/>
      <c r="AF2" s="1566"/>
      <c r="AG2" s="1566"/>
      <c r="AH2" s="1566"/>
      <c r="AI2" s="1566"/>
      <c r="AJ2" s="1566"/>
      <c r="AK2" s="1566"/>
      <c r="AL2" s="1566"/>
      <c r="AM2" s="1566"/>
    </row>
    <row r="3" spans="1:42" ht="15" customHeight="1">
      <c r="A3" s="1139"/>
      <c r="B3" s="1136"/>
      <c r="C3" s="766"/>
      <c r="D3" s="767"/>
      <c r="E3" s="767"/>
      <c r="F3" s="767"/>
      <c r="G3" s="767"/>
      <c r="H3" s="767"/>
      <c r="I3" s="767"/>
      <c r="J3" s="767"/>
      <c r="K3" s="767"/>
      <c r="L3" s="767"/>
      <c r="M3" s="767"/>
      <c r="N3" s="767"/>
      <c r="O3" s="767"/>
      <c r="P3" s="767"/>
      <c r="Q3" s="768"/>
      <c r="R3" s="769"/>
      <c r="S3" s="770"/>
      <c r="T3" s="770"/>
      <c r="U3" s="770"/>
      <c r="V3" s="770"/>
      <c r="W3" s="770"/>
      <c r="X3" s="770"/>
      <c r="Y3" s="770"/>
      <c r="Z3" s="770"/>
      <c r="AA3" s="770"/>
      <c r="AB3" s="770"/>
      <c r="AC3" s="770"/>
      <c r="AD3" s="770"/>
      <c r="AE3" s="770"/>
      <c r="AF3" s="1566"/>
      <c r="AG3" s="1566"/>
      <c r="AH3" s="1566"/>
      <c r="AI3" s="1566"/>
      <c r="AJ3" s="1566"/>
      <c r="AK3" s="1561"/>
      <c r="AL3" s="1566"/>
      <c r="AM3" s="1566"/>
    </row>
    <row r="4" spans="1:42" ht="35.1" customHeight="1">
      <c r="A4" s="1139"/>
      <c r="B4" s="1125" t="s">
        <v>0</v>
      </c>
      <c r="C4" s="1667" t="str">
        <f>Background!$D$2</f>
        <v>Glasgow, University of</v>
      </c>
      <c r="D4" s="1668"/>
      <c r="E4" s="1687"/>
      <c r="F4" s="221">
        <f>VLOOKUP(Background!$C$2,Inst_Tables,7,FALSE)</f>
        <v>1</v>
      </c>
      <c r="G4" s="221"/>
      <c r="H4" s="221"/>
      <c r="I4" s="221"/>
      <c r="J4" s="221"/>
      <c r="K4" s="767"/>
      <c r="L4" s="767"/>
      <c r="M4" s="767"/>
      <c r="N4" s="767"/>
      <c r="O4" s="767"/>
      <c r="P4" s="767"/>
      <c r="Q4" s="771"/>
      <c r="R4" s="772"/>
      <c r="S4" s="770"/>
      <c r="T4" s="770"/>
      <c r="U4" s="770"/>
      <c r="V4" s="770"/>
      <c r="W4" s="770"/>
      <c r="X4" s="770"/>
      <c r="Y4" s="770"/>
      <c r="Z4" s="770"/>
      <c r="AA4" s="770"/>
      <c r="AB4" s="770"/>
      <c r="AC4" s="770"/>
      <c r="AD4" s="770"/>
      <c r="AE4" s="770"/>
      <c r="AF4" s="1566"/>
      <c r="AG4" s="1561"/>
      <c r="AK4" s="1560"/>
      <c r="AL4" s="1566"/>
      <c r="AM4" s="1561"/>
      <c r="AN4" s="1561"/>
      <c r="AO4" s="1561"/>
      <c r="AP4" s="1561"/>
    </row>
    <row r="5" spans="1:42" ht="35.1" customHeight="1">
      <c r="A5" s="1139"/>
      <c r="B5" s="1137" t="s">
        <v>334</v>
      </c>
      <c r="C5" s="774"/>
      <c r="D5" s="774"/>
      <c r="E5" s="774"/>
      <c r="F5" s="774"/>
      <c r="G5" s="774"/>
      <c r="H5" s="774"/>
      <c r="I5" s="774"/>
      <c r="J5" s="774"/>
      <c r="K5" s="774"/>
      <c r="L5" s="774"/>
      <c r="M5" s="774"/>
      <c r="N5" s="774"/>
      <c r="O5" s="774"/>
      <c r="P5" s="775"/>
      <c r="Q5" s="776"/>
      <c r="R5" s="773"/>
      <c r="S5" s="770"/>
      <c r="T5" s="770"/>
      <c r="U5" s="770"/>
      <c r="V5" s="770"/>
      <c r="W5" s="770"/>
      <c r="X5" s="770"/>
      <c r="Y5" s="770"/>
      <c r="Z5" s="770"/>
      <c r="AA5" s="770"/>
      <c r="AB5" s="770"/>
      <c r="AC5" s="770"/>
      <c r="AD5" s="770"/>
      <c r="AE5" s="770"/>
      <c r="AF5" s="1566"/>
      <c r="AG5" s="1561"/>
      <c r="AH5" s="1560"/>
      <c r="AI5" s="1560"/>
      <c r="AJ5" s="1560"/>
      <c r="AK5" s="1560"/>
      <c r="AL5" s="1561"/>
      <c r="AM5" s="1561"/>
      <c r="AN5" s="1561"/>
      <c r="AO5" s="1561"/>
      <c r="AP5" s="1561"/>
    </row>
    <row r="6" spans="1:42" ht="30" customHeight="1">
      <c r="A6" s="1139"/>
      <c r="B6" s="73" t="s">
        <v>451</v>
      </c>
      <c r="C6" s="774"/>
      <c r="D6" s="774"/>
      <c r="E6" s="774"/>
      <c r="F6" s="774"/>
      <c r="G6" s="774"/>
      <c r="H6" s="774"/>
      <c r="I6" s="774"/>
      <c r="J6" s="774"/>
      <c r="K6" s="774"/>
      <c r="L6" s="774"/>
      <c r="M6" s="774"/>
      <c r="N6" s="774"/>
      <c r="O6" s="774"/>
      <c r="P6" s="775"/>
      <c r="Q6" s="776"/>
      <c r="R6" s="773"/>
      <c r="S6" s="770"/>
      <c r="T6" s="770"/>
      <c r="U6" s="770"/>
      <c r="V6" s="770"/>
      <c r="W6" s="770"/>
      <c r="X6" s="770"/>
      <c r="Y6" s="770"/>
      <c r="Z6" s="770"/>
      <c r="AA6" s="770"/>
      <c r="AB6" s="770"/>
      <c r="AC6" s="770"/>
      <c r="AD6" s="770"/>
      <c r="AE6" s="770"/>
      <c r="AF6" s="1566"/>
      <c r="AG6" s="1561"/>
      <c r="AH6" s="1560"/>
      <c r="AI6" s="1560"/>
      <c r="AJ6" s="1560"/>
      <c r="AK6" s="1560"/>
      <c r="AL6" s="1561"/>
      <c r="AM6" s="1561"/>
      <c r="AN6" s="1561"/>
      <c r="AO6" s="1561"/>
      <c r="AP6" s="1561"/>
    </row>
    <row r="7" spans="1:42" ht="15" customHeight="1" thickBot="1">
      <c r="A7" s="1139"/>
      <c r="B7" s="774"/>
      <c r="C7" s="774"/>
      <c r="D7" s="774"/>
      <c r="E7" s="774"/>
      <c r="F7" s="774"/>
      <c r="G7" s="774"/>
      <c r="H7" s="774"/>
      <c r="I7" s="774"/>
      <c r="J7" s="774"/>
      <c r="K7" s="774"/>
      <c r="L7" s="774"/>
      <c r="M7" s="774"/>
      <c r="N7" s="774"/>
      <c r="O7" s="774"/>
      <c r="P7" s="775"/>
      <c r="Q7" s="776"/>
      <c r="R7" s="773"/>
      <c r="S7" s="770"/>
      <c r="T7" s="770"/>
      <c r="U7" s="770"/>
      <c r="V7" s="770"/>
      <c r="W7" s="770"/>
      <c r="X7" s="770"/>
      <c r="Y7" s="770"/>
      <c r="Z7" s="770"/>
      <c r="AA7" s="770"/>
      <c r="AB7" s="770"/>
      <c r="AC7" s="770"/>
      <c r="AD7" s="770"/>
      <c r="AE7" s="770"/>
      <c r="AF7" s="1566"/>
      <c r="AG7" s="1561"/>
      <c r="AH7" s="1560"/>
      <c r="AI7" s="1560"/>
      <c r="AJ7" s="1560"/>
      <c r="AK7" s="1560"/>
      <c r="AL7" s="1561"/>
      <c r="AM7" s="1561"/>
      <c r="AN7" s="1561"/>
      <c r="AO7" s="1561"/>
      <c r="AP7" s="1561"/>
    </row>
    <row r="8" spans="1:42" ht="39.950000000000003" customHeight="1" thickBot="1">
      <c r="A8" s="1139"/>
      <c r="B8" s="1701" t="s">
        <v>45</v>
      </c>
      <c r="C8" s="1702"/>
      <c r="D8" s="1702"/>
      <c r="E8" s="1702"/>
      <c r="F8" s="1702"/>
      <c r="G8" s="1702"/>
      <c r="H8" s="1702"/>
      <c r="I8" s="1702"/>
      <c r="J8" s="1702"/>
      <c r="K8" s="1702"/>
      <c r="L8" s="1702"/>
      <c r="M8" s="1702"/>
      <c r="N8" s="1702"/>
      <c r="O8" s="1702"/>
      <c r="P8" s="1703"/>
      <c r="Q8" s="776"/>
      <c r="R8" s="773"/>
      <c r="S8" s="777"/>
      <c r="T8" s="777"/>
      <c r="U8" s="777"/>
      <c r="V8" s="777"/>
      <c r="W8" s="777"/>
      <c r="X8" s="770"/>
      <c r="Y8" s="778"/>
      <c r="Z8" s="778"/>
      <c r="AA8" s="778"/>
      <c r="AB8" s="778"/>
      <c r="AC8" s="778"/>
      <c r="AD8" s="770"/>
      <c r="AE8" s="770"/>
      <c r="AF8" s="1566"/>
      <c r="AG8" s="1561"/>
      <c r="AH8" s="1568"/>
      <c r="AI8" s="1561"/>
      <c r="AJ8" s="1561"/>
      <c r="AK8" s="1561"/>
      <c r="AL8" s="1561"/>
      <c r="AN8" s="1561"/>
      <c r="AO8" s="1561"/>
      <c r="AP8" s="1561"/>
    </row>
    <row r="9" spans="1:42" ht="39.950000000000003" customHeight="1" thickBot="1">
      <c r="A9" s="1139"/>
      <c r="B9" s="850"/>
      <c r="C9" s="1697" t="s">
        <v>234</v>
      </c>
      <c r="D9" s="1698"/>
      <c r="E9" s="1698"/>
      <c r="F9" s="1698"/>
      <c r="G9" s="1698"/>
      <c r="H9" s="1698"/>
      <c r="I9" s="1698"/>
      <c r="J9" s="1698"/>
      <c r="K9" s="1698"/>
      <c r="L9" s="1698"/>
      <c r="M9" s="1698"/>
      <c r="N9" s="1698"/>
      <c r="O9" s="1699"/>
      <c r="P9" s="1700" t="s">
        <v>209</v>
      </c>
      <c r="Q9" s="776"/>
      <c r="R9" s="773"/>
      <c r="S9" s="779"/>
      <c r="T9" s="779"/>
      <c r="U9" s="779"/>
      <c r="V9" s="779"/>
      <c r="W9" s="779"/>
      <c r="X9" s="770"/>
      <c r="Y9" s="780"/>
      <c r="Z9" s="780"/>
      <c r="AA9" s="780"/>
      <c r="AB9" s="780"/>
      <c r="AC9" s="780"/>
      <c r="AD9" s="770"/>
      <c r="AE9" s="770"/>
      <c r="AL9" s="1561"/>
    </row>
    <row r="10" spans="1:42" ht="39.950000000000003" customHeight="1" thickBot="1">
      <c r="A10" s="1139"/>
      <c r="B10" s="850"/>
      <c r="C10" s="1698" t="s">
        <v>18</v>
      </c>
      <c r="D10" s="1698"/>
      <c r="E10" s="1698"/>
      <c r="F10" s="1698"/>
      <c r="G10" s="1698"/>
      <c r="H10" s="1698"/>
      <c r="I10" s="1698"/>
      <c r="J10" s="1697" t="s">
        <v>46</v>
      </c>
      <c r="K10" s="1698"/>
      <c r="L10" s="1698"/>
      <c r="M10" s="1698"/>
      <c r="N10" s="1699"/>
      <c r="O10" s="858" t="s">
        <v>2</v>
      </c>
      <c r="P10" s="1700"/>
      <c r="Q10" s="776"/>
      <c r="R10" s="773"/>
      <c r="S10" s="926"/>
      <c r="T10" s="926"/>
      <c r="U10" s="926"/>
      <c r="V10" s="926"/>
      <c r="W10" s="926"/>
      <c r="X10" s="770"/>
      <c r="Y10" s="926"/>
      <c r="Z10" s="926"/>
      <c r="AA10" s="926"/>
      <c r="AB10" s="926"/>
      <c r="AC10" s="926"/>
      <c r="AD10" s="770"/>
      <c r="AE10" s="770"/>
      <c r="AH10" s="1710" t="s">
        <v>18</v>
      </c>
      <c r="AI10" s="1711"/>
      <c r="AJ10" s="1711"/>
      <c r="AK10" s="1712"/>
      <c r="AL10" s="1561"/>
      <c r="AM10" s="1710" t="s">
        <v>46</v>
      </c>
      <c r="AN10" s="1711"/>
      <c r="AO10" s="1711"/>
      <c r="AP10" s="1712"/>
    </row>
    <row r="11" spans="1:42" ht="54.95" customHeight="1">
      <c r="A11" s="1139"/>
      <c r="B11" s="851" t="s">
        <v>233</v>
      </c>
      <c r="C11" s="826" t="s">
        <v>152</v>
      </c>
      <c r="D11" s="843">
        <v>0</v>
      </c>
      <c r="E11" s="844" t="s">
        <v>39</v>
      </c>
      <c r="F11" s="844" t="s">
        <v>28</v>
      </c>
      <c r="G11" s="844" t="s">
        <v>29</v>
      </c>
      <c r="H11" s="844" t="s">
        <v>30</v>
      </c>
      <c r="I11" s="825" t="s">
        <v>246</v>
      </c>
      <c r="J11" s="845" t="s">
        <v>152</v>
      </c>
      <c r="K11" s="1143" t="s">
        <v>29</v>
      </c>
      <c r="L11" s="844" t="s">
        <v>30</v>
      </c>
      <c r="M11" s="844" t="s">
        <v>31</v>
      </c>
      <c r="N11" s="821" t="s">
        <v>246</v>
      </c>
      <c r="O11" s="782"/>
      <c r="P11" s="1700"/>
      <c r="Q11" s="776"/>
      <c r="R11" s="773"/>
      <c r="S11" s="1707" t="s">
        <v>18</v>
      </c>
      <c r="T11" s="1708"/>
      <c r="U11" s="1708"/>
      <c r="V11" s="1708"/>
      <c r="W11" s="1709"/>
      <c r="X11" s="770"/>
      <c r="Y11" s="1707" t="s">
        <v>46</v>
      </c>
      <c r="Z11" s="1708"/>
      <c r="AA11" s="1708"/>
      <c r="AB11" s="1708"/>
      <c r="AC11" s="1709"/>
      <c r="AD11" s="770"/>
      <c r="AE11" s="770"/>
      <c r="AH11" s="1713" t="s">
        <v>338</v>
      </c>
      <c r="AI11" s="1716" t="s">
        <v>309</v>
      </c>
      <c r="AJ11" s="1716" t="s">
        <v>297</v>
      </c>
      <c r="AK11" s="1719" t="s">
        <v>339</v>
      </c>
      <c r="AL11" s="1561"/>
      <c r="AM11" s="1713" t="s">
        <v>338</v>
      </c>
      <c r="AN11" s="1716" t="s">
        <v>309</v>
      </c>
      <c r="AO11" s="1716" t="s">
        <v>297</v>
      </c>
      <c r="AP11" s="1719" t="s">
        <v>339</v>
      </c>
    </row>
    <row r="12" spans="1:42" ht="30" customHeight="1">
      <c r="A12" s="1139"/>
      <c r="B12" s="852"/>
      <c r="C12" s="846" t="s">
        <v>32</v>
      </c>
      <c r="D12" s="831" t="s">
        <v>32</v>
      </c>
      <c r="E12" s="781" t="s">
        <v>32</v>
      </c>
      <c r="F12" s="781" t="s">
        <v>32</v>
      </c>
      <c r="G12" s="781" t="s">
        <v>32</v>
      </c>
      <c r="H12" s="781" t="s">
        <v>32</v>
      </c>
      <c r="I12" s="808" t="s">
        <v>32</v>
      </c>
      <c r="J12" s="832" t="s">
        <v>32</v>
      </c>
      <c r="K12" s="1144" t="s">
        <v>32</v>
      </c>
      <c r="L12" s="781" t="s">
        <v>32</v>
      </c>
      <c r="M12" s="781" t="s">
        <v>32</v>
      </c>
      <c r="N12" s="806" t="s">
        <v>32</v>
      </c>
      <c r="O12" s="782" t="s">
        <v>32</v>
      </c>
      <c r="P12" s="782" t="s">
        <v>32</v>
      </c>
      <c r="Q12" s="776"/>
      <c r="R12" s="773"/>
      <c r="S12" s="1670" t="s">
        <v>266</v>
      </c>
      <c r="T12" s="1658" t="s">
        <v>267</v>
      </c>
      <c r="U12" s="1704" t="s">
        <v>293</v>
      </c>
      <c r="V12" s="1705"/>
      <c r="W12" s="1706"/>
      <c r="X12" s="770"/>
      <c r="Y12" s="1670" t="s">
        <v>266</v>
      </c>
      <c r="Z12" s="1658" t="s">
        <v>267</v>
      </c>
      <c r="AA12" s="1704" t="s">
        <v>293</v>
      </c>
      <c r="AB12" s="1705"/>
      <c r="AC12" s="1706"/>
      <c r="AD12" s="770"/>
      <c r="AE12" s="770"/>
      <c r="AH12" s="1714"/>
      <c r="AI12" s="1717"/>
      <c r="AJ12" s="1717"/>
      <c r="AK12" s="1720"/>
      <c r="AM12" s="1714"/>
      <c r="AN12" s="1717"/>
      <c r="AO12" s="1717"/>
      <c r="AP12" s="1720"/>
    </row>
    <row r="13" spans="1:42" ht="39.950000000000003" customHeight="1" thickBot="1">
      <c r="A13" s="1139"/>
      <c r="B13" s="852"/>
      <c r="C13" s="847" t="s">
        <v>47</v>
      </c>
      <c r="D13" s="833" t="s">
        <v>47</v>
      </c>
      <c r="E13" s="810" t="s">
        <v>47</v>
      </c>
      <c r="F13" s="810" t="s">
        <v>47</v>
      </c>
      <c r="G13" s="810" t="s">
        <v>47</v>
      </c>
      <c r="H13" s="810" t="s">
        <v>47</v>
      </c>
      <c r="I13" s="825" t="s">
        <v>151</v>
      </c>
      <c r="J13" s="834" t="s">
        <v>47</v>
      </c>
      <c r="K13" s="1145" t="s">
        <v>47</v>
      </c>
      <c r="L13" s="810" t="s">
        <v>47</v>
      </c>
      <c r="M13" s="810" t="s">
        <v>47</v>
      </c>
      <c r="N13" s="821" t="s">
        <v>151</v>
      </c>
      <c r="O13" s="978" t="s">
        <v>151</v>
      </c>
      <c r="P13" s="811" t="s">
        <v>47</v>
      </c>
      <c r="Q13" s="776"/>
      <c r="R13" s="773"/>
      <c r="S13" s="1661"/>
      <c r="T13" s="1663"/>
      <c r="U13" s="634" t="s">
        <v>80</v>
      </c>
      <c r="V13" s="1658" t="s">
        <v>294</v>
      </c>
      <c r="W13" s="84" t="s">
        <v>99</v>
      </c>
      <c r="X13" s="770"/>
      <c r="Y13" s="1661"/>
      <c r="Z13" s="1663"/>
      <c r="AA13" s="634" t="s">
        <v>80</v>
      </c>
      <c r="AB13" s="1658" t="s">
        <v>294</v>
      </c>
      <c r="AC13" s="84" t="s">
        <v>99</v>
      </c>
      <c r="AD13" s="770"/>
      <c r="AE13" s="770"/>
      <c r="AH13" s="1715"/>
      <c r="AI13" s="1718"/>
      <c r="AJ13" s="1718"/>
      <c r="AK13" s="1721"/>
      <c r="AM13" s="1715"/>
      <c r="AN13" s="1718"/>
      <c r="AO13" s="1718"/>
      <c r="AP13" s="1721"/>
    </row>
    <row r="14" spans="1:42" ht="30" customHeight="1" thickBot="1">
      <c r="A14" s="1139"/>
      <c r="B14" s="859"/>
      <c r="C14" s="860" t="s">
        <v>4</v>
      </c>
      <c r="D14" s="861" t="s">
        <v>5</v>
      </c>
      <c r="E14" s="862" t="s">
        <v>6</v>
      </c>
      <c r="F14" s="862" t="s">
        <v>7</v>
      </c>
      <c r="G14" s="862" t="s">
        <v>8</v>
      </c>
      <c r="H14" s="862" t="s">
        <v>9</v>
      </c>
      <c r="I14" s="863" t="s">
        <v>59</v>
      </c>
      <c r="J14" s="864" t="s">
        <v>60</v>
      </c>
      <c r="K14" s="865" t="s">
        <v>61</v>
      </c>
      <c r="L14" s="862" t="s">
        <v>10</v>
      </c>
      <c r="M14" s="862" t="s">
        <v>11</v>
      </c>
      <c r="N14" s="866" t="s">
        <v>12</v>
      </c>
      <c r="O14" s="867" t="s">
        <v>13</v>
      </c>
      <c r="P14" s="867" t="s">
        <v>14</v>
      </c>
      <c r="Q14" s="776"/>
      <c r="R14" s="773"/>
      <c r="S14" s="909"/>
      <c r="T14" s="635"/>
      <c r="U14" s="910"/>
      <c r="V14" s="1659"/>
      <c r="W14" s="911"/>
      <c r="X14" s="770"/>
      <c r="Y14" s="909"/>
      <c r="Z14" s="635"/>
      <c r="AA14" s="910"/>
      <c r="AB14" s="1659"/>
      <c r="AC14" s="911"/>
      <c r="AD14" s="770"/>
      <c r="AE14" s="770"/>
      <c r="AH14" s="1558" t="s">
        <v>94</v>
      </c>
      <c r="AI14" s="1558" t="s">
        <v>94</v>
      </c>
      <c r="AJ14" s="1558" t="s">
        <v>94</v>
      </c>
      <c r="AK14" s="1558" t="s">
        <v>94</v>
      </c>
      <c r="AL14" s="1547"/>
      <c r="AM14" s="1558" t="s">
        <v>94</v>
      </c>
      <c r="AN14" s="1558" t="s">
        <v>94</v>
      </c>
      <c r="AO14" s="1558" t="s">
        <v>94</v>
      </c>
      <c r="AP14" s="1558" t="s">
        <v>94</v>
      </c>
    </row>
    <row r="15" spans="1:42" ht="35.1" customHeight="1">
      <c r="A15" s="1139"/>
      <c r="B15" s="851" t="s">
        <v>336</v>
      </c>
      <c r="C15" s="847"/>
      <c r="D15" s="835"/>
      <c r="E15" s="783"/>
      <c r="F15" s="783"/>
      <c r="G15" s="1145"/>
      <c r="H15" s="1145"/>
      <c r="I15" s="826"/>
      <c r="J15" s="836"/>
      <c r="K15" s="784"/>
      <c r="L15" s="783"/>
      <c r="M15" s="810"/>
      <c r="N15" s="978"/>
      <c r="O15" s="978"/>
      <c r="P15" s="811"/>
      <c r="Q15" s="776"/>
      <c r="R15" s="773"/>
      <c r="S15" s="921"/>
      <c r="T15" s="922"/>
      <c r="U15" s="922"/>
      <c r="V15" s="922"/>
      <c r="W15" s="923"/>
      <c r="X15" s="770"/>
      <c r="Y15" s="96"/>
      <c r="Z15" s="922"/>
      <c r="AA15" s="922"/>
      <c r="AB15" s="922"/>
      <c r="AC15" s="927"/>
      <c r="AD15" s="770"/>
      <c r="AE15" s="770"/>
      <c r="AH15" s="1558"/>
      <c r="AI15" s="1558"/>
      <c r="AJ15" s="1558"/>
      <c r="AK15" s="1558"/>
      <c r="AL15" s="1547"/>
      <c r="AM15" s="1558"/>
      <c r="AN15" s="1558"/>
      <c r="AO15" s="1558"/>
      <c r="AP15" s="1558"/>
    </row>
    <row r="16" spans="1:42" ht="30" customHeight="1">
      <c r="A16" s="1139"/>
      <c r="B16" s="853" t="s">
        <v>231</v>
      </c>
      <c r="C16" s="1590">
        <v>151</v>
      </c>
      <c r="D16" s="894"/>
      <c r="E16" s="895">
        <v>151</v>
      </c>
      <c r="F16" s="895">
        <v>166</v>
      </c>
      <c r="G16" s="886"/>
      <c r="H16" s="886"/>
      <c r="I16" s="827">
        <f>SUM(D16:H16)</f>
        <v>317</v>
      </c>
      <c r="J16" s="896">
        <v>16</v>
      </c>
      <c r="K16" s="1591">
        <v>179</v>
      </c>
      <c r="L16" s="895">
        <v>248</v>
      </c>
      <c r="M16" s="1592">
        <v>233</v>
      </c>
      <c r="N16" s="818">
        <f>SUM(K16:M16)</f>
        <v>660</v>
      </c>
      <c r="O16" s="818">
        <f>SUM(I16,N16)</f>
        <v>977</v>
      </c>
      <c r="P16" s="887">
        <v>79</v>
      </c>
      <c r="Q16" s="776"/>
      <c r="R16" s="773"/>
      <c r="S16" s="145" t="str">
        <f>IF(AH16=1,Intake_missing,IF(AI16=1,Only_intake_recorded,"OK"))</f>
        <v>OK</v>
      </c>
      <c r="T16" s="108" t="str">
        <f>IF(OR(AJ16=1,AK16=1),Intake_inconsistent,"OK")</f>
        <v>OK</v>
      </c>
      <c r="U16" s="924">
        <f>'Table 1 (Main)'!$O$31</f>
        <v>317</v>
      </c>
      <c r="V16" s="925">
        <f>I16-U16</f>
        <v>0</v>
      </c>
      <c r="W16" s="147" t="str">
        <f>IF(ABS(V16)&gt;0.1,"Does not equal figure in Table 1","OK")</f>
        <v>OK</v>
      </c>
      <c r="X16" s="770"/>
      <c r="Y16" s="145" t="str">
        <f>IF(AM16=1,Intake_missing,IF(AN16=1,Only_intake_recorded,"OK"))</f>
        <v>OK</v>
      </c>
      <c r="Z16" s="108" t="str">
        <f>IF(OR(AO16=1,AP16=1),Intake_inconsistent,"OK")</f>
        <v>OK</v>
      </c>
      <c r="AA16" s="924">
        <f>'Table 1 (Main)'!$O$29</f>
        <v>660</v>
      </c>
      <c r="AB16" s="925">
        <f>N16-AA16</f>
        <v>0</v>
      </c>
      <c r="AC16" s="147" t="str">
        <f>IF(ABS(AB16)&gt;0.1,"Does not equal figure in Table 1","OK")</f>
        <v>OK</v>
      </c>
      <c r="AD16" s="770"/>
      <c r="AE16" s="770"/>
      <c r="AH16" s="1559">
        <f>IF(AND($C16=0,$I16&gt;0),1,0)</f>
        <v>0</v>
      </c>
      <c r="AI16" s="1559">
        <f>IF(AND($C16&gt;0,$I16=0),1,0)</f>
        <v>0</v>
      </c>
      <c r="AJ16" s="1559">
        <f>IF($C16&gt;$I16,1,0)</f>
        <v>0</v>
      </c>
      <c r="AK16" s="1559">
        <f>IF(AND($C16&gt;0,$C16=$I16),1,0)</f>
        <v>0</v>
      </c>
      <c r="AL16" s="1569"/>
      <c r="AM16" s="1559">
        <f>IF(AND($J16=0,$N16&gt;0),1,0)</f>
        <v>0</v>
      </c>
      <c r="AN16" s="1559">
        <f>IF(AND($J16&gt;0,$N16=0),1,0)</f>
        <v>0</v>
      </c>
      <c r="AO16" s="1559">
        <f>IF($J16&gt;$N16,1,0)</f>
        <v>0</v>
      </c>
      <c r="AP16" s="1559">
        <f>IF(AND($J16&gt;0,$J16=$N16),1,0)</f>
        <v>0</v>
      </c>
    </row>
    <row r="17" spans="1:42" ht="30" customHeight="1">
      <c r="A17" s="1139"/>
      <c r="B17" s="853" t="s">
        <v>335</v>
      </c>
      <c r="C17" s="1590">
        <v>58</v>
      </c>
      <c r="D17" s="894"/>
      <c r="E17" s="895">
        <v>58</v>
      </c>
      <c r="F17" s="895">
        <v>60</v>
      </c>
      <c r="G17" s="886"/>
      <c r="H17" s="886"/>
      <c r="I17" s="827">
        <f>SUM(D17:H17)</f>
        <v>118</v>
      </c>
      <c r="J17" s="896">
        <v>8</v>
      </c>
      <c r="K17" s="1591">
        <v>57</v>
      </c>
      <c r="L17" s="895">
        <v>3</v>
      </c>
      <c r="M17" s="1592"/>
      <c r="N17" s="818">
        <f>SUM(K17:M17)</f>
        <v>60</v>
      </c>
      <c r="O17" s="818">
        <f>SUM(I17,N17)</f>
        <v>178</v>
      </c>
      <c r="P17" s="887"/>
      <c r="Q17" s="776"/>
      <c r="R17" s="773"/>
      <c r="S17" s="145" t="str">
        <f>IF(AH17=1,Intake_missing,IF(AI17=1,Only_intake_recorded,"OK"))</f>
        <v>OK</v>
      </c>
      <c r="T17" s="108" t="str">
        <f>IF(OR(AJ17=1,AK17=1),Intake_inconsistent,"OK")</f>
        <v>OK</v>
      </c>
      <c r="U17" s="924">
        <f>'Table 1 (Main)'!$S$31</f>
        <v>118</v>
      </c>
      <c r="V17" s="925">
        <f>I17-U17</f>
        <v>0</v>
      </c>
      <c r="W17" s="147" t="str">
        <f>IF(ABS(V17)&gt;0.1,"Does not equal figure in Table 1","OK")</f>
        <v>OK</v>
      </c>
      <c r="X17" s="770"/>
      <c r="Y17" s="145" t="str">
        <f>IF(AM17=1,Intake_missing,IF(AN17=1,Only_intake_recorded,"OK"))</f>
        <v>OK</v>
      </c>
      <c r="Z17" s="108" t="str">
        <f>IF(OR(AO17=1,AP17=1),Intake_inconsistent,"OK")</f>
        <v>OK</v>
      </c>
      <c r="AA17" s="924">
        <f>'Table 1 (Main)'!$S$29</f>
        <v>60</v>
      </c>
      <c r="AB17" s="925">
        <f>N17-AA17</f>
        <v>0</v>
      </c>
      <c r="AC17" s="147" t="str">
        <f>IF(ABS(AB17)&gt;0.1,"Does not equal figure in Table 1","OK")</f>
        <v>OK</v>
      </c>
      <c r="AD17" s="770"/>
      <c r="AE17" s="770"/>
      <c r="AH17" s="1559">
        <f t="shared" ref="AH17:AH22" si="0">IF(AND($C17=0,$I17&gt;0),1,0)</f>
        <v>0</v>
      </c>
      <c r="AI17" s="1559">
        <f t="shared" ref="AI17:AI22" si="1">IF(AND($C17&gt;0,$I17=0),1,0)</f>
        <v>0</v>
      </c>
      <c r="AJ17" s="1559">
        <f t="shared" ref="AJ17:AJ22" si="2">IF($C17&gt;$I17,1,0)</f>
        <v>0</v>
      </c>
      <c r="AK17" s="1559">
        <f t="shared" ref="AK17:AK22" si="3">IF(AND($C17&gt;0,$C17=$I17),1,0)</f>
        <v>0</v>
      </c>
      <c r="AL17" s="1569"/>
      <c r="AM17" s="1559">
        <f>IF(AND($J17=0,$N17&gt;0),1,0)</f>
        <v>0</v>
      </c>
      <c r="AN17" s="1559">
        <f>IF(AND($J17&gt;0,$N17=0),1,0)</f>
        <v>0</v>
      </c>
      <c r="AO17" s="1559">
        <f>IF($J17&gt;$N17,1,0)</f>
        <v>0</v>
      </c>
      <c r="AP17" s="1559">
        <f>IF(AND($J17&gt;0,$J17=$N17),1,0)</f>
        <v>0</v>
      </c>
    </row>
    <row r="18" spans="1:42" ht="30" customHeight="1">
      <c r="A18" s="1139"/>
      <c r="B18" s="854" t="s">
        <v>337</v>
      </c>
      <c r="C18" s="848">
        <f>SUM(C16:C17)</f>
        <v>209</v>
      </c>
      <c r="D18" s="837">
        <f>SUM(D16:D17)</f>
        <v>0</v>
      </c>
      <c r="E18" s="815">
        <f t="shared" ref="E18:H18" si="4">SUM(E16:E17)</f>
        <v>209</v>
      </c>
      <c r="F18" s="815">
        <f t="shared" si="4"/>
        <v>226</v>
      </c>
      <c r="G18" s="815">
        <f t="shared" si="4"/>
        <v>0</v>
      </c>
      <c r="H18" s="815">
        <f t="shared" si="4"/>
        <v>0</v>
      </c>
      <c r="I18" s="828">
        <f>SUM(I16:I17)</f>
        <v>435</v>
      </c>
      <c r="J18" s="838">
        <f t="shared" ref="J18:N18" si="5">SUM(J16:J17)</f>
        <v>24</v>
      </c>
      <c r="K18" s="816">
        <f t="shared" si="5"/>
        <v>236</v>
      </c>
      <c r="L18" s="815">
        <f t="shared" si="5"/>
        <v>251</v>
      </c>
      <c r="M18" s="815">
        <f t="shared" si="5"/>
        <v>233</v>
      </c>
      <c r="N18" s="817">
        <f t="shared" si="5"/>
        <v>720</v>
      </c>
      <c r="O18" s="823">
        <f>SUM(O16:O17)</f>
        <v>1155</v>
      </c>
      <c r="P18" s="823">
        <f>SUM(P16:P17)</f>
        <v>79</v>
      </c>
      <c r="Q18" s="776"/>
      <c r="R18" s="773"/>
      <c r="S18" s="137"/>
      <c r="T18" s="912"/>
      <c r="U18" s="912"/>
      <c r="V18" s="913"/>
      <c r="W18" s="139"/>
      <c r="X18" s="770"/>
      <c r="Y18" s="137"/>
      <c r="Z18" s="912"/>
      <c r="AA18" s="912"/>
      <c r="AB18" s="913"/>
      <c r="AC18" s="139"/>
      <c r="AD18" s="770"/>
      <c r="AE18" s="770"/>
      <c r="AH18" s="1559"/>
      <c r="AI18" s="1559"/>
      <c r="AJ18" s="1559"/>
      <c r="AK18" s="1559"/>
      <c r="AL18" s="1569"/>
      <c r="AM18" s="1559"/>
      <c r="AN18" s="1559"/>
      <c r="AO18" s="1559"/>
      <c r="AP18" s="1559"/>
    </row>
    <row r="19" spans="1:42" ht="35.1" customHeight="1">
      <c r="A19" s="1139"/>
      <c r="B19" s="855" t="s">
        <v>232</v>
      </c>
      <c r="C19" s="849"/>
      <c r="D19" s="839"/>
      <c r="E19" s="787"/>
      <c r="F19" s="787"/>
      <c r="G19" s="787"/>
      <c r="H19" s="787"/>
      <c r="I19" s="829"/>
      <c r="J19" s="840"/>
      <c r="K19" s="786"/>
      <c r="L19" s="787"/>
      <c r="M19" s="785"/>
      <c r="N19" s="807"/>
      <c r="O19" s="824"/>
      <c r="P19" s="788"/>
      <c r="Q19" s="776"/>
      <c r="R19" s="773"/>
      <c r="S19" s="914"/>
      <c r="T19" s="915"/>
      <c r="U19" s="796"/>
      <c r="V19" s="797"/>
      <c r="W19" s="916"/>
      <c r="X19" s="770"/>
      <c r="Y19" s="914"/>
      <c r="Z19" s="915"/>
      <c r="AA19" s="796"/>
      <c r="AB19" s="797"/>
      <c r="AC19" s="916"/>
      <c r="AD19" s="770"/>
      <c r="AE19" s="770"/>
      <c r="AH19" s="1570"/>
      <c r="AI19" s="1570"/>
      <c r="AJ19" s="1570"/>
      <c r="AK19" s="1570"/>
      <c r="AL19" s="1569"/>
      <c r="AM19" s="1547"/>
    </row>
    <row r="20" spans="1:42" ht="30" customHeight="1">
      <c r="A20" s="1139"/>
      <c r="B20" s="853" t="s">
        <v>244</v>
      </c>
      <c r="C20" s="883"/>
      <c r="D20" s="884"/>
      <c r="E20" s="885"/>
      <c r="F20" s="885"/>
      <c r="G20" s="886"/>
      <c r="H20" s="886"/>
      <c r="I20" s="827">
        <f>SUM(D20:H20)</f>
        <v>0</v>
      </c>
      <c r="J20" s="1594">
        <v>15</v>
      </c>
      <c r="K20" s="1595">
        <v>15</v>
      </c>
      <c r="L20" s="1592">
        <v>17</v>
      </c>
      <c r="M20" s="1592">
        <v>12</v>
      </c>
      <c r="N20" s="818">
        <f t="shared" ref="N20:N22" si="6">SUM(K20:M20)</f>
        <v>44</v>
      </c>
      <c r="O20" s="818">
        <f t="shared" ref="O20:O21" si="7">SUM(I20,N20)</f>
        <v>44</v>
      </c>
      <c r="P20" s="887"/>
      <c r="Q20" s="776"/>
      <c r="R20" s="773"/>
      <c r="S20" s="145" t="str">
        <f>IF(AH20=1,Intake_missing,IF(AI20=1,Only_intake_recorded,"OK"))</f>
        <v>OK</v>
      </c>
      <c r="T20" s="108" t="str">
        <f>IF(OR(AJ20=1,AK20=1),Intake_inconsistent,"OK")</f>
        <v>OK</v>
      </c>
      <c r="U20" s="917"/>
      <c r="V20" s="797"/>
      <c r="W20" s="916"/>
      <c r="X20" s="770"/>
      <c r="Y20" s="145" t="str">
        <f>IF(AM20=1,Intake_missing,IF(AN20=1,Only_intake_recorded,"OK"))</f>
        <v>OK</v>
      </c>
      <c r="Z20" s="108" t="str">
        <f>IF(OR(AO20=1,AP20=1),Intake_inconsistent,"OK")</f>
        <v>OK</v>
      </c>
      <c r="AA20" s="917"/>
      <c r="AB20" s="797"/>
      <c r="AC20" s="916"/>
      <c r="AD20" s="770"/>
      <c r="AE20" s="770"/>
      <c r="AH20" s="1559">
        <f t="shared" si="0"/>
        <v>0</v>
      </c>
      <c r="AI20" s="1559">
        <f t="shared" si="1"/>
        <v>0</v>
      </c>
      <c r="AJ20" s="1559">
        <f t="shared" si="2"/>
        <v>0</v>
      </c>
      <c r="AK20" s="1559">
        <f t="shared" si="3"/>
        <v>0</v>
      </c>
      <c r="AL20" s="1569"/>
      <c r="AM20" s="1559">
        <f t="shared" ref="AM20:AM22" si="8">IF(AND($J20=0,$N20&gt;0),1,0)</f>
        <v>0</v>
      </c>
      <c r="AN20" s="1559">
        <f t="shared" ref="AN20:AN22" si="9">IF(AND($J20&gt;0,$N20=0),1,0)</f>
        <v>0</v>
      </c>
      <c r="AO20" s="1559">
        <f t="shared" ref="AO20:AO22" si="10">IF($J20&gt;$N20,1,0)</f>
        <v>0</v>
      </c>
      <c r="AP20" s="1559">
        <f t="shared" ref="AP20:AP22" si="11">IF(AND($J20&gt;0,$J20=$N20),1,0)</f>
        <v>0</v>
      </c>
    </row>
    <row r="21" spans="1:42" ht="30" customHeight="1">
      <c r="A21" s="1139"/>
      <c r="B21" s="853" t="s">
        <v>245</v>
      </c>
      <c r="C21" s="883"/>
      <c r="D21" s="884"/>
      <c r="E21" s="885"/>
      <c r="F21" s="885"/>
      <c r="G21" s="886"/>
      <c r="H21" s="886"/>
      <c r="I21" s="827">
        <f>SUM(D21:H21)</f>
        <v>0</v>
      </c>
      <c r="J21" s="1594"/>
      <c r="K21" s="1595"/>
      <c r="L21" s="1592"/>
      <c r="M21" s="1592"/>
      <c r="N21" s="818">
        <f t="shared" si="6"/>
        <v>0</v>
      </c>
      <c r="O21" s="818">
        <f t="shared" si="7"/>
        <v>0</v>
      </c>
      <c r="P21" s="887"/>
      <c r="Q21" s="776"/>
      <c r="R21" s="773"/>
      <c r="S21" s="145" t="str">
        <f>IF(AH21=1,Intake_missing,IF(AI21=1,Only_intake_recorded,"OK"))</f>
        <v>OK</v>
      </c>
      <c r="T21" s="108" t="str">
        <f>IF(OR(AJ21=1,AK21=1),Intake_inconsistent,"OK")</f>
        <v>OK</v>
      </c>
      <c r="U21" s="917"/>
      <c r="V21" s="797"/>
      <c r="W21" s="916"/>
      <c r="X21" s="770"/>
      <c r="Y21" s="145" t="str">
        <f>IF(AM21=1,Intake_missing,IF(AN21=1,Only_intake_recorded,"OK"))</f>
        <v>OK</v>
      </c>
      <c r="Z21" s="108" t="str">
        <f>IF(OR(AO21=1,AP21=1),Intake_inconsistent,"OK")</f>
        <v>OK</v>
      </c>
      <c r="AA21" s="917"/>
      <c r="AB21" s="797"/>
      <c r="AC21" s="916"/>
      <c r="AD21" s="770"/>
      <c r="AE21" s="770"/>
      <c r="AH21" s="1559">
        <f t="shared" si="0"/>
        <v>0</v>
      </c>
      <c r="AI21" s="1559">
        <f t="shared" si="1"/>
        <v>0</v>
      </c>
      <c r="AJ21" s="1559">
        <f t="shared" si="2"/>
        <v>0</v>
      </c>
      <c r="AK21" s="1559">
        <f t="shared" si="3"/>
        <v>0</v>
      </c>
      <c r="AL21" s="1569"/>
      <c r="AM21" s="1559">
        <f t="shared" si="8"/>
        <v>0</v>
      </c>
      <c r="AN21" s="1559">
        <f t="shared" si="9"/>
        <v>0</v>
      </c>
      <c r="AO21" s="1559">
        <f t="shared" si="10"/>
        <v>0</v>
      </c>
      <c r="AP21" s="1559">
        <f t="shared" si="11"/>
        <v>0</v>
      </c>
    </row>
    <row r="22" spans="1:42" ht="30" customHeight="1" thickBot="1">
      <c r="A22" s="1139"/>
      <c r="B22" s="853" t="s">
        <v>104</v>
      </c>
      <c r="C22" s="1590">
        <v>21</v>
      </c>
      <c r="D22" s="1593"/>
      <c r="E22" s="1592">
        <v>21</v>
      </c>
      <c r="F22" s="1592">
        <v>17</v>
      </c>
      <c r="G22" s="886"/>
      <c r="H22" s="886"/>
      <c r="I22" s="827">
        <f>SUM(D22:H22)</f>
        <v>38</v>
      </c>
      <c r="J22" s="1594"/>
      <c r="K22" s="1595">
        <v>38</v>
      </c>
      <c r="L22" s="1592">
        <v>32</v>
      </c>
      <c r="M22" s="1592">
        <v>31</v>
      </c>
      <c r="N22" s="818">
        <f t="shared" si="6"/>
        <v>101</v>
      </c>
      <c r="O22" s="818">
        <f>SUM(I22,N22)</f>
        <v>139</v>
      </c>
      <c r="P22" s="887"/>
      <c r="Q22" s="776"/>
      <c r="R22" s="773"/>
      <c r="S22" s="158" t="str">
        <f>IF(AH22=1,Intake_missing,IF(AI22=1,Only_intake_recorded,"OK"))</f>
        <v>OK</v>
      </c>
      <c r="T22" s="790" t="str">
        <f>IF(OR(AJ22=1,AK22=1),Intake_inconsistent,"OK")</f>
        <v>OK</v>
      </c>
      <c r="U22" s="918"/>
      <c r="V22" s="919"/>
      <c r="W22" s="920"/>
      <c r="X22" s="770"/>
      <c r="Y22" s="158" t="str">
        <f>IF(AM22=1,Intake_missing,IF(AN22=1,Only_intake_recorded,"OK"))</f>
        <v>Intake missing?</v>
      </c>
      <c r="Z22" s="790" t="str">
        <f>IF(OR(AO22=1,AP22=1),Intake_inconsistent,"OK")</f>
        <v>OK</v>
      </c>
      <c r="AA22" s="918"/>
      <c r="AB22" s="919"/>
      <c r="AC22" s="920"/>
      <c r="AD22" s="770"/>
      <c r="AE22" s="770"/>
      <c r="AH22" s="1559">
        <f t="shared" si="0"/>
        <v>0</v>
      </c>
      <c r="AI22" s="1559">
        <f t="shared" si="1"/>
        <v>0</v>
      </c>
      <c r="AJ22" s="1559">
        <f t="shared" si="2"/>
        <v>0</v>
      </c>
      <c r="AK22" s="1559">
        <f t="shared" si="3"/>
        <v>0</v>
      </c>
      <c r="AL22" s="1569"/>
      <c r="AM22" s="1559">
        <f t="shared" si="8"/>
        <v>1</v>
      </c>
      <c r="AN22" s="1559">
        <f t="shared" si="9"/>
        <v>0</v>
      </c>
      <c r="AO22" s="1559">
        <f t="shared" si="10"/>
        <v>0</v>
      </c>
      <c r="AP22" s="1559">
        <f t="shared" si="11"/>
        <v>0</v>
      </c>
    </row>
    <row r="23" spans="1:42" ht="30" customHeight="1">
      <c r="A23" s="1139"/>
      <c r="B23" s="856" t="s">
        <v>265</v>
      </c>
      <c r="C23" s="848">
        <f>SUM(C20:C22)</f>
        <v>21</v>
      </c>
      <c r="D23" s="841">
        <f t="shared" ref="D23:M23" si="12">SUM(D20:D22)</f>
        <v>0</v>
      </c>
      <c r="E23" s="814">
        <f t="shared" si="12"/>
        <v>21</v>
      </c>
      <c r="F23" s="814">
        <f t="shared" si="12"/>
        <v>17</v>
      </c>
      <c r="G23" s="814">
        <f t="shared" si="12"/>
        <v>0</v>
      </c>
      <c r="H23" s="814">
        <f t="shared" si="12"/>
        <v>0</v>
      </c>
      <c r="I23" s="830">
        <f>SUM(I20:I22)</f>
        <v>38</v>
      </c>
      <c r="J23" s="842">
        <f t="shared" si="12"/>
        <v>15</v>
      </c>
      <c r="K23" s="813">
        <f t="shared" si="12"/>
        <v>53</v>
      </c>
      <c r="L23" s="814">
        <f t="shared" si="12"/>
        <v>49</v>
      </c>
      <c r="M23" s="814">
        <f t="shared" si="12"/>
        <v>43</v>
      </c>
      <c r="N23" s="822">
        <f>SUM(N20:N22)</f>
        <v>145</v>
      </c>
      <c r="O23" s="818">
        <f>SUM(O20:O22)</f>
        <v>183</v>
      </c>
      <c r="P23" s="818">
        <f>SUM(P20:P22)</f>
        <v>0</v>
      </c>
      <c r="Q23" s="776"/>
      <c r="R23" s="773"/>
      <c r="S23" s="779"/>
      <c r="T23" s="779"/>
      <c r="U23" s="779"/>
      <c r="V23" s="791"/>
      <c r="W23" s="779"/>
      <c r="X23" s="770"/>
      <c r="Y23" s="770"/>
      <c r="Z23" s="770"/>
      <c r="AA23" s="770"/>
      <c r="AB23" s="770"/>
      <c r="AC23" s="770"/>
      <c r="AD23" s="770"/>
      <c r="AE23" s="770"/>
      <c r="AH23" s="1570"/>
      <c r="AI23" s="1570"/>
      <c r="AJ23" s="1570"/>
      <c r="AK23" s="1570"/>
      <c r="AL23" s="1569"/>
      <c r="AM23" s="1547"/>
    </row>
    <row r="24" spans="1:42" ht="35.1" customHeight="1" thickBot="1">
      <c r="A24" s="1139"/>
      <c r="B24" s="857" t="s">
        <v>2</v>
      </c>
      <c r="C24" s="882">
        <f>SUM(C18,C23)</f>
        <v>230</v>
      </c>
      <c r="D24" s="888">
        <f>SUM(D18,D23)</f>
        <v>0</v>
      </c>
      <c r="E24" s="889">
        <f>SUM(E18,E23)</f>
        <v>230</v>
      </c>
      <c r="F24" s="889">
        <f t="shared" ref="F24:P24" si="13">SUM(F18,F23)</f>
        <v>243</v>
      </c>
      <c r="G24" s="889">
        <f t="shared" si="13"/>
        <v>0</v>
      </c>
      <c r="H24" s="889">
        <f t="shared" si="13"/>
        <v>0</v>
      </c>
      <c r="I24" s="890">
        <f t="shared" si="13"/>
        <v>473</v>
      </c>
      <c r="J24" s="881">
        <f t="shared" si="13"/>
        <v>39</v>
      </c>
      <c r="K24" s="891">
        <f t="shared" si="13"/>
        <v>289</v>
      </c>
      <c r="L24" s="889">
        <f t="shared" si="13"/>
        <v>300</v>
      </c>
      <c r="M24" s="889">
        <f t="shared" si="13"/>
        <v>276</v>
      </c>
      <c r="N24" s="892">
        <f t="shared" si="13"/>
        <v>865</v>
      </c>
      <c r="O24" s="893">
        <f t="shared" si="13"/>
        <v>1338</v>
      </c>
      <c r="P24" s="893">
        <f t="shared" si="13"/>
        <v>79</v>
      </c>
      <c r="Q24" s="776"/>
      <c r="R24" s="773"/>
      <c r="S24" s="779"/>
      <c r="T24" s="779"/>
      <c r="U24" s="779"/>
      <c r="V24" s="791"/>
      <c r="W24" s="779"/>
      <c r="X24" s="770"/>
      <c r="Y24" s="770"/>
      <c r="Z24" s="770"/>
      <c r="AA24" s="770"/>
      <c r="AB24" s="770"/>
      <c r="AC24" s="770"/>
      <c r="AD24" s="770"/>
      <c r="AE24" s="770"/>
      <c r="AH24" s="1570"/>
      <c r="AI24" s="1570"/>
      <c r="AJ24" s="1570"/>
      <c r="AK24" s="1570"/>
      <c r="AL24" s="1569"/>
      <c r="AM24" s="1547"/>
    </row>
    <row r="25" spans="1:42" ht="30" customHeight="1" thickBot="1">
      <c r="A25" s="1139"/>
      <c r="B25" s="793"/>
      <c r="C25" s="793"/>
      <c r="D25" s="793"/>
      <c r="E25" s="793"/>
      <c r="F25" s="793"/>
      <c r="G25" s="793"/>
      <c r="H25" s="793"/>
      <c r="I25" s="793"/>
      <c r="J25" s="793"/>
      <c r="K25" s="793"/>
      <c r="L25" s="793"/>
      <c r="M25" s="793"/>
      <c r="N25" s="793"/>
      <c r="O25" s="794"/>
      <c r="P25" s="794"/>
      <c r="Q25" s="776"/>
      <c r="R25" s="773"/>
      <c r="S25" s="780"/>
      <c r="T25" s="780"/>
      <c r="U25" s="780"/>
      <c r="V25" s="795"/>
      <c r="W25" s="780"/>
      <c r="X25" s="770"/>
      <c r="Y25" s="770"/>
      <c r="Z25" s="770"/>
      <c r="AA25" s="770"/>
      <c r="AB25" s="770"/>
      <c r="AC25" s="770"/>
      <c r="AD25" s="770"/>
      <c r="AE25" s="770"/>
      <c r="AH25" s="1559"/>
      <c r="AI25" s="1559"/>
      <c r="AJ25" s="1558"/>
      <c r="AK25" s="1571"/>
      <c r="AL25" s="1569"/>
      <c r="AM25" s="1547"/>
    </row>
    <row r="26" spans="1:42" ht="39.950000000000003" customHeight="1" thickBot="1">
      <c r="A26" s="1139"/>
      <c r="B26" s="1701" t="s">
        <v>213</v>
      </c>
      <c r="C26" s="1702"/>
      <c r="D26" s="1702"/>
      <c r="E26" s="1702"/>
      <c r="F26" s="1702"/>
      <c r="G26" s="1702"/>
      <c r="H26" s="1702"/>
      <c r="I26" s="1702"/>
      <c r="J26" s="1702"/>
      <c r="K26" s="1702"/>
      <c r="L26" s="1702"/>
      <c r="M26" s="1702"/>
      <c r="N26" s="1703"/>
      <c r="O26" s="777"/>
      <c r="P26" s="777"/>
      <c r="Q26" s="776"/>
      <c r="R26" s="773"/>
      <c r="S26" s="780"/>
      <c r="T26" s="780"/>
      <c r="U26" s="780"/>
      <c r="V26" s="795"/>
      <c r="W26" s="780"/>
      <c r="X26" s="770"/>
      <c r="Y26" s="770"/>
      <c r="Z26" s="770"/>
      <c r="AA26" s="770"/>
      <c r="AB26" s="770"/>
      <c r="AC26" s="770"/>
      <c r="AD26" s="770"/>
      <c r="AE26" s="770"/>
      <c r="AH26" s="1559"/>
      <c r="AI26" s="1559"/>
      <c r="AJ26" s="1558"/>
      <c r="AK26" s="1571"/>
      <c r="AL26" s="1569"/>
      <c r="AM26" s="1547"/>
    </row>
    <row r="27" spans="1:42" ht="39.950000000000003" customHeight="1" thickBot="1">
      <c r="A27" s="1139"/>
      <c r="B27" s="868"/>
      <c r="C27" s="1701" t="s">
        <v>234</v>
      </c>
      <c r="D27" s="1702"/>
      <c r="E27" s="1702"/>
      <c r="F27" s="1702"/>
      <c r="G27" s="1702"/>
      <c r="H27" s="1702"/>
      <c r="I27" s="1702"/>
      <c r="J27" s="1702"/>
      <c r="K27" s="1702"/>
      <c r="L27" s="1702"/>
      <c r="M27" s="1703"/>
      <c r="N27" s="1700" t="s">
        <v>209</v>
      </c>
      <c r="O27" s="777"/>
      <c r="P27" s="777"/>
      <c r="Q27" s="776"/>
      <c r="R27" s="773"/>
      <c r="S27" s="780"/>
      <c r="T27" s="780"/>
      <c r="U27" s="780"/>
      <c r="V27" s="795"/>
      <c r="W27" s="780"/>
      <c r="X27" s="770"/>
      <c r="Y27" s="770"/>
      <c r="Z27" s="770"/>
      <c r="AA27" s="770"/>
      <c r="AB27" s="770"/>
      <c r="AC27" s="770"/>
      <c r="AD27" s="770"/>
      <c r="AE27" s="770"/>
      <c r="AH27" s="1559"/>
      <c r="AI27" s="1559"/>
      <c r="AJ27" s="1558"/>
      <c r="AK27" s="1571"/>
      <c r="AL27" s="1569"/>
      <c r="AM27" s="1547"/>
    </row>
    <row r="28" spans="1:42" ht="39.950000000000003" customHeight="1" thickBot="1">
      <c r="A28" s="1139"/>
      <c r="B28" s="868"/>
      <c r="C28" s="1701" t="s">
        <v>18</v>
      </c>
      <c r="D28" s="1702"/>
      <c r="E28" s="1702"/>
      <c r="F28" s="1703"/>
      <c r="G28" s="1697" t="s">
        <v>46</v>
      </c>
      <c r="H28" s="1698"/>
      <c r="I28" s="1698"/>
      <c r="J28" s="1698"/>
      <c r="K28" s="1698"/>
      <c r="L28" s="1699"/>
      <c r="M28" s="858" t="s">
        <v>2</v>
      </c>
      <c r="N28" s="1700"/>
      <c r="O28" s="777"/>
      <c r="P28" s="777"/>
      <c r="Q28" s="776"/>
      <c r="R28" s="773"/>
      <c r="S28" s="926"/>
      <c r="T28" s="926"/>
      <c r="U28" s="926"/>
      <c r="V28" s="926"/>
      <c r="W28" s="926"/>
      <c r="X28" s="928"/>
      <c r="Y28" s="926"/>
      <c r="Z28" s="926"/>
      <c r="AA28" s="926"/>
      <c r="AB28" s="926"/>
      <c r="AC28" s="926"/>
      <c r="AD28" s="770"/>
      <c r="AE28" s="770"/>
      <c r="AH28" s="1559"/>
      <c r="AI28" s="1559"/>
      <c r="AJ28" s="1558"/>
      <c r="AK28" s="1571"/>
      <c r="AL28" s="1569"/>
      <c r="AM28" s="1547"/>
    </row>
    <row r="29" spans="1:42" ht="54.95" customHeight="1">
      <c r="A29" s="1139"/>
      <c r="B29" s="812" t="s">
        <v>233</v>
      </c>
      <c r="C29" s="874" t="s">
        <v>152</v>
      </c>
      <c r="D29" s="843">
        <v>0</v>
      </c>
      <c r="E29" s="844" t="s">
        <v>39</v>
      </c>
      <c r="F29" s="821" t="s">
        <v>246</v>
      </c>
      <c r="G29" s="826" t="s">
        <v>152</v>
      </c>
      <c r="H29" s="843" t="s">
        <v>28</v>
      </c>
      <c r="I29" s="844" t="s">
        <v>29</v>
      </c>
      <c r="J29" s="844" t="s">
        <v>30</v>
      </c>
      <c r="K29" s="844" t="s">
        <v>31</v>
      </c>
      <c r="L29" s="821" t="s">
        <v>246</v>
      </c>
      <c r="M29" s="782"/>
      <c r="N29" s="1700"/>
      <c r="O29" s="777"/>
      <c r="P29" s="777"/>
      <c r="Q29" s="776"/>
      <c r="R29" s="773"/>
      <c r="S29" s="1707" t="s">
        <v>18</v>
      </c>
      <c r="T29" s="1708"/>
      <c r="U29" s="1708"/>
      <c r="V29" s="1708"/>
      <c r="W29" s="1709"/>
      <c r="X29" s="770"/>
      <c r="Y29" s="1707" t="s">
        <v>46</v>
      </c>
      <c r="Z29" s="1708"/>
      <c r="AA29" s="1708"/>
      <c r="AB29" s="1708"/>
      <c r="AC29" s="1709"/>
      <c r="AD29" s="770"/>
      <c r="AE29" s="770"/>
      <c r="AH29" s="1559"/>
      <c r="AI29" s="1559"/>
      <c r="AJ29" s="1558"/>
      <c r="AK29" s="1571"/>
      <c r="AL29" s="1569"/>
      <c r="AM29" s="1547"/>
    </row>
    <row r="30" spans="1:42" ht="30" customHeight="1">
      <c r="A30" s="1139"/>
      <c r="B30" s="809"/>
      <c r="C30" s="871" t="s">
        <v>32</v>
      </c>
      <c r="D30" s="831" t="s">
        <v>32</v>
      </c>
      <c r="E30" s="781" t="s">
        <v>32</v>
      </c>
      <c r="F30" s="806" t="s">
        <v>32</v>
      </c>
      <c r="G30" s="846" t="s">
        <v>32</v>
      </c>
      <c r="H30" s="831" t="s">
        <v>32</v>
      </c>
      <c r="I30" s="781" t="s">
        <v>32</v>
      </c>
      <c r="J30" s="781" t="s">
        <v>32</v>
      </c>
      <c r="K30" s="781" t="s">
        <v>32</v>
      </c>
      <c r="L30" s="806" t="s">
        <v>32</v>
      </c>
      <c r="M30" s="782" t="s">
        <v>32</v>
      </c>
      <c r="N30" s="782" t="s">
        <v>32</v>
      </c>
      <c r="O30" s="777"/>
      <c r="P30" s="777"/>
      <c r="Q30" s="776"/>
      <c r="R30" s="773"/>
      <c r="S30" s="1670" t="s">
        <v>266</v>
      </c>
      <c r="T30" s="1658" t="s">
        <v>267</v>
      </c>
      <c r="U30" s="1704" t="s">
        <v>293</v>
      </c>
      <c r="V30" s="1705"/>
      <c r="W30" s="1706"/>
      <c r="X30" s="770"/>
      <c r="Y30" s="1670" t="s">
        <v>266</v>
      </c>
      <c r="Z30" s="1658" t="s">
        <v>267</v>
      </c>
      <c r="AA30" s="1704" t="s">
        <v>293</v>
      </c>
      <c r="AB30" s="1705"/>
      <c r="AC30" s="1706"/>
      <c r="AD30" s="770"/>
      <c r="AE30" s="770"/>
      <c r="AH30" s="1559"/>
      <c r="AI30" s="1559"/>
      <c r="AJ30" s="1558"/>
      <c r="AK30" s="1571"/>
      <c r="AL30" s="1569"/>
      <c r="AM30" s="1547"/>
    </row>
    <row r="31" spans="1:42" ht="39.950000000000003" customHeight="1">
      <c r="A31" s="1139"/>
      <c r="B31" s="809"/>
      <c r="C31" s="872" t="s">
        <v>47</v>
      </c>
      <c r="D31" s="833" t="s">
        <v>47</v>
      </c>
      <c r="E31" s="810" t="s">
        <v>47</v>
      </c>
      <c r="F31" s="821" t="s">
        <v>151</v>
      </c>
      <c r="G31" s="847" t="s">
        <v>47</v>
      </c>
      <c r="H31" s="833" t="s">
        <v>47</v>
      </c>
      <c r="I31" s="810" t="s">
        <v>47</v>
      </c>
      <c r="J31" s="810" t="s">
        <v>47</v>
      </c>
      <c r="K31" s="810" t="s">
        <v>47</v>
      </c>
      <c r="L31" s="821" t="s">
        <v>151</v>
      </c>
      <c r="M31" s="978" t="s">
        <v>151</v>
      </c>
      <c r="N31" s="820" t="s">
        <v>47</v>
      </c>
      <c r="O31" s="777"/>
      <c r="P31" s="779"/>
      <c r="Q31" s="776"/>
      <c r="R31" s="773"/>
      <c r="S31" s="1661"/>
      <c r="T31" s="1663"/>
      <c r="U31" s="634" t="s">
        <v>80</v>
      </c>
      <c r="V31" s="1658" t="s">
        <v>294</v>
      </c>
      <c r="W31" s="84" t="s">
        <v>99</v>
      </c>
      <c r="X31" s="770"/>
      <c r="Y31" s="1661"/>
      <c r="Z31" s="1663"/>
      <c r="AA31" s="634" t="s">
        <v>80</v>
      </c>
      <c r="AB31" s="1658" t="s">
        <v>294</v>
      </c>
      <c r="AC31" s="84" t="s">
        <v>99</v>
      </c>
      <c r="AD31" s="770"/>
      <c r="AE31" s="770"/>
      <c r="AH31" s="1559"/>
      <c r="AI31" s="1559"/>
      <c r="AJ31" s="1558"/>
      <c r="AK31" s="1571"/>
      <c r="AL31" s="1569"/>
      <c r="AM31" s="1547"/>
    </row>
    <row r="32" spans="1:42" ht="30" customHeight="1" thickBot="1">
      <c r="A32" s="1139"/>
      <c r="B32" s="819"/>
      <c r="C32" s="864" t="s">
        <v>4</v>
      </c>
      <c r="D32" s="861" t="s">
        <v>5</v>
      </c>
      <c r="E32" s="862" t="s">
        <v>6</v>
      </c>
      <c r="F32" s="863" t="s">
        <v>7</v>
      </c>
      <c r="G32" s="864" t="s">
        <v>8</v>
      </c>
      <c r="H32" s="865" t="s">
        <v>9</v>
      </c>
      <c r="I32" s="863" t="s">
        <v>59</v>
      </c>
      <c r="J32" s="862" t="s">
        <v>60</v>
      </c>
      <c r="K32" s="865" t="s">
        <v>61</v>
      </c>
      <c r="L32" s="863" t="s">
        <v>10</v>
      </c>
      <c r="M32" s="864" t="s">
        <v>11</v>
      </c>
      <c r="N32" s="867" t="s">
        <v>12</v>
      </c>
      <c r="O32" s="777"/>
      <c r="P32" s="779"/>
      <c r="Q32" s="776"/>
      <c r="R32" s="773"/>
      <c r="S32" s="909"/>
      <c r="T32" s="635"/>
      <c r="U32" s="910"/>
      <c r="V32" s="1659"/>
      <c r="W32" s="911"/>
      <c r="X32" s="770"/>
      <c r="Y32" s="909"/>
      <c r="Z32" s="635"/>
      <c r="AA32" s="910"/>
      <c r="AB32" s="1659"/>
      <c r="AC32" s="911"/>
      <c r="AD32" s="770"/>
      <c r="AE32" s="770"/>
      <c r="AH32" s="1559"/>
      <c r="AI32" s="1559"/>
      <c r="AJ32" s="1558"/>
      <c r="AK32" s="1571"/>
      <c r="AL32" s="1569"/>
      <c r="AM32" s="1547"/>
    </row>
    <row r="33" spans="1:42" ht="35.1" customHeight="1">
      <c r="A33" s="1139"/>
      <c r="B33" s="812" t="s">
        <v>336</v>
      </c>
      <c r="C33" s="872"/>
      <c r="D33" s="833"/>
      <c r="E33" s="810"/>
      <c r="F33" s="978"/>
      <c r="G33" s="847"/>
      <c r="H33" s="833"/>
      <c r="I33" s="810"/>
      <c r="J33" s="810"/>
      <c r="K33" s="810"/>
      <c r="L33" s="978"/>
      <c r="M33" s="845"/>
      <c r="N33" s="820"/>
      <c r="O33" s="777"/>
      <c r="P33" s="779"/>
      <c r="Q33" s="776"/>
      <c r="R33" s="773"/>
      <c r="S33" s="921"/>
      <c r="T33" s="922"/>
      <c r="U33" s="922"/>
      <c r="V33" s="922"/>
      <c r="W33" s="923"/>
      <c r="X33" s="770"/>
      <c r="Y33" s="921"/>
      <c r="Z33" s="922"/>
      <c r="AA33" s="922"/>
      <c r="AB33" s="922"/>
      <c r="AC33" s="923"/>
      <c r="AD33" s="770"/>
      <c r="AE33" s="770"/>
      <c r="AH33" s="1559"/>
      <c r="AI33" s="1559"/>
      <c r="AJ33" s="1558"/>
      <c r="AK33" s="1571"/>
      <c r="AL33" s="1569"/>
      <c r="AM33" s="1547"/>
    </row>
    <row r="34" spans="1:42" ht="30" customHeight="1">
      <c r="A34" s="1139"/>
      <c r="B34" s="789" t="s">
        <v>231</v>
      </c>
      <c r="C34" s="897">
        <v>53</v>
      </c>
      <c r="D34" s="894"/>
      <c r="E34" s="895">
        <v>53</v>
      </c>
      <c r="F34" s="876">
        <f>SUM(D34:E34)</f>
        <v>53</v>
      </c>
      <c r="G34" s="1596"/>
      <c r="H34" s="894">
        <v>66</v>
      </c>
      <c r="I34" s="895">
        <v>75</v>
      </c>
      <c r="J34" s="895">
        <v>86</v>
      </c>
      <c r="K34" s="895">
        <v>77</v>
      </c>
      <c r="L34" s="876">
        <f>SUM(H34:K34)</f>
        <v>304</v>
      </c>
      <c r="M34" s="878">
        <f>SUM(F34,L34)</f>
        <v>357</v>
      </c>
      <c r="N34" s="906"/>
      <c r="O34" s="777"/>
      <c r="P34" s="777"/>
      <c r="Q34" s="776"/>
      <c r="R34" s="773"/>
      <c r="S34" s="145" t="str">
        <f>IF(AH34=1,Intake_missing,IF(AI34=1,Only_intake_recorded,"OK"))</f>
        <v>OK</v>
      </c>
      <c r="T34" s="108" t="str">
        <f>IF(OR(AJ34=1,AK34=1),Intake_inconsistent,"OK")</f>
        <v>Intake inconsistent with enrolments?</v>
      </c>
      <c r="U34" s="924">
        <f>'Table 1 (Main)'!$O$32</f>
        <v>53</v>
      </c>
      <c r="V34" s="925">
        <f>F34-U34</f>
        <v>0</v>
      </c>
      <c r="W34" s="147" t="str">
        <f>IF(ABS(V34)&gt;0.1,"Does not equal figure in Table 1","OK")</f>
        <v>OK</v>
      </c>
      <c r="X34" s="770"/>
      <c r="Y34" s="145" t="str">
        <f>IF(AN34=1,Only_intake_recorded,"OK")</f>
        <v>OK</v>
      </c>
      <c r="Z34" s="108" t="str">
        <f>IF(OR(AO34=1,AP34=1),Intake_inconsistent,"OK")</f>
        <v>OK</v>
      </c>
      <c r="AA34" s="924">
        <f>'Table 1 (Main)'!$O$30</f>
        <v>304</v>
      </c>
      <c r="AB34" s="925">
        <f>L34-AA34</f>
        <v>0</v>
      </c>
      <c r="AC34" s="147" t="str">
        <f>IF(ABS(AB34)&gt;0.1,"Does not equal figure in Table 1","OK")</f>
        <v>OK</v>
      </c>
      <c r="AD34" s="770"/>
      <c r="AE34" s="770"/>
      <c r="AH34" s="1559">
        <f>IF(AND($C34=0,$F34&gt;0),1,0)</f>
        <v>0</v>
      </c>
      <c r="AI34" s="1559">
        <f>IF(AND($C34&gt;0,$F34=0),1,0)</f>
        <v>0</v>
      </c>
      <c r="AJ34" s="1559">
        <f>IF($C34&gt;$F34,1,0)</f>
        <v>0</v>
      </c>
      <c r="AK34" s="1559">
        <f>IF(AND($C34&gt;0,$C34=$F34),1,0)</f>
        <v>1</v>
      </c>
      <c r="AL34" s="1569"/>
      <c r="AM34" s="1559"/>
      <c r="AN34" s="1559">
        <f>IF(AND($G34&gt;0,$L34=0),1,0)</f>
        <v>0</v>
      </c>
      <c r="AO34" s="1559">
        <f>IF($G34&gt;$L34,1,0)</f>
        <v>0</v>
      </c>
      <c r="AP34" s="1559">
        <f>IF(AND($G34&gt;0,$G34=$L34),1,0)</f>
        <v>0</v>
      </c>
    </row>
    <row r="35" spans="1:42" ht="30" customHeight="1">
      <c r="A35" s="1139"/>
      <c r="B35" s="789" t="s">
        <v>335</v>
      </c>
      <c r="C35" s="898">
        <v>13</v>
      </c>
      <c r="D35" s="899"/>
      <c r="E35" s="900">
        <v>13</v>
      </c>
      <c r="F35" s="875">
        <f t="shared" ref="F35" si="14">SUM(D35:E35)</f>
        <v>13</v>
      </c>
      <c r="G35" s="901"/>
      <c r="H35" s="902">
        <v>17</v>
      </c>
      <c r="I35" s="903">
        <v>9</v>
      </c>
      <c r="J35" s="903"/>
      <c r="K35" s="903"/>
      <c r="L35" s="875">
        <f t="shared" ref="L35:L37" si="15">SUM(H35:K35)</f>
        <v>26</v>
      </c>
      <c r="M35" s="879">
        <f t="shared" ref="M35:M37" si="16">SUM(F35,L35)</f>
        <v>39</v>
      </c>
      <c r="N35" s="907"/>
      <c r="O35" s="777"/>
      <c r="P35" s="777"/>
      <c r="Q35" s="776"/>
      <c r="R35" s="773"/>
      <c r="S35" s="145" t="str">
        <f>IF(AH35=1,Intake_missing,IF(AI35=1,Only_intake_recorded,"OK"))</f>
        <v>OK</v>
      </c>
      <c r="T35" s="108" t="str">
        <f>IF(OR(AJ35=1,AK35=1),Intake_inconsistent,"OK")</f>
        <v>Intake inconsistent with enrolments?</v>
      </c>
      <c r="U35" s="924">
        <f>'Table 1 (Main)'!$S$32</f>
        <v>13</v>
      </c>
      <c r="V35" s="925">
        <f>F35-U35</f>
        <v>0</v>
      </c>
      <c r="W35" s="147" t="str">
        <f>IF(ABS(V35)&gt;0.1,"Does not equal figure in Table 1","OK")</f>
        <v>OK</v>
      </c>
      <c r="X35" s="770"/>
      <c r="Y35" s="145" t="str">
        <f>IF(AN35=1,Only_intake_recorded,"OK")</f>
        <v>OK</v>
      </c>
      <c r="Z35" s="108" t="str">
        <f>IF(OR(AO35=1,AP35=1),Intake_inconsistent,"OK")</f>
        <v>OK</v>
      </c>
      <c r="AA35" s="924">
        <f>'Table 1 (Main)'!$S$30</f>
        <v>26</v>
      </c>
      <c r="AB35" s="925">
        <f>L35-AA35</f>
        <v>0</v>
      </c>
      <c r="AC35" s="147" t="str">
        <f>IF(ABS(AB35)&gt;0.1,"Does not equal figure in Table 1","OK")</f>
        <v>OK</v>
      </c>
      <c r="AD35" s="770"/>
      <c r="AE35" s="770"/>
      <c r="AH35" s="1559">
        <f>IF(AND($C35=0,$F35&gt;0),1,0)</f>
        <v>0</v>
      </c>
      <c r="AI35" s="1559">
        <f>IF(AND($C35&gt;0,$F35=0),1,0)</f>
        <v>0</v>
      </c>
      <c r="AJ35" s="1559">
        <f>IF($C35&gt;$F35,1,0)</f>
        <v>0</v>
      </c>
      <c r="AK35" s="1559">
        <f>IF(AND($C35&gt;0,$C35=$F35),1,0)</f>
        <v>1</v>
      </c>
      <c r="AL35" s="1569"/>
      <c r="AM35" s="1559"/>
      <c r="AN35" s="1559">
        <f>IF(AND($G35&gt;0,$L35=0),1,0)</f>
        <v>0</v>
      </c>
      <c r="AO35" s="1559">
        <f>IF($G35&gt;$L35,1,0)</f>
        <v>0</v>
      </c>
      <c r="AP35" s="1559">
        <f>IF(AND($G35&gt;0,$G35=$L35),1,0)</f>
        <v>0</v>
      </c>
    </row>
    <row r="36" spans="1:42" ht="30" customHeight="1">
      <c r="A36" s="1139"/>
      <c r="B36" s="869" t="s">
        <v>337</v>
      </c>
      <c r="C36" s="873">
        <f>SUM(C34:C35)</f>
        <v>66</v>
      </c>
      <c r="D36" s="837">
        <f>SUM(D34:D35)</f>
        <v>0</v>
      </c>
      <c r="E36" s="815">
        <f t="shared" ref="E36" si="17">SUM(E34:E35)</f>
        <v>66</v>
      </c>
      <c r="F36" s="817">
        <f t="shared" ref="F36" si="18">SUM(F34:F35)</f>
        <v>66</v>
      </c>
      <c r="G36" s="848">
        <f>SUM(G34:G35)</f>
        <v>0</v>
      </c>
      <c r="H36" s="837">
        <f>SUM(H34:H35)</f>
        <v>83</v>
      </c>
      <c r="I36" s="815">
        <f t="shared" ref="I36" si="19">SUM(I34:I35)</f>
        <v>84</v>
      </c>
      <c r="J36" s="815">
        <f t="shared" ref="J36" si="20">SUM(J34:J35)</f>
        <v>86</v>
      </c>
      <c r="K36" s="815">
        <f t="shared" ref="K36" si="21">SUM(K34:K35)</f>
        <v>77</v>
      </c>
      <c r="L36" s="817">
        <f>SUM(L34:L35)</f>
        <v>330</v>
      </c>
      <c r="M36" s="880">
        <f>SUM(M34:M35)</f>
        <v>396</v>
      </c>
      <c r="N36" s="877">
        <f>SUM(N34:N35)</f>
        <v>0</v>
      </c>
      <c r="O36" s="777"/>
      <c r="P36" s="777"/>
      <c r="Q36" s="776"/>
      <c r="R36" s="773"/>
      <c r="S36" s="107"/>
      <c r="T36" s="929"/>
      <c r="U36" s="912"/>
      <c r="V36" s="913"/>
      <c r="W36" s="139"/>
      <c r="X36" s="770"/>
      <c r="Y36" s="107"/>
      <c r="Z36" s="929"/>
      <c r="AA36" s="912"/>
      <c r="AB36" s="913"/>
      <c r="AC36" s="139"/>
      <c r="AD36" s="770"/>
      <c r="AE36" s="770"/>
      <c r="AH36" s="1559"/>
      <c r="AI36" s="1559"/>
      <c r="AJ36" s="1559"/>
      <c r="AK36" s="1559"/>
      <c r="AL36" s="1569"/>
      <c r="AM36" s="1559"/>
      <c r="AN36" s="1559"/>
      <c r="AO36" s="1559"/>
      <c r="AP36" s="1559"/>
    </row>
    <row r="37" spans="1:42" ht="35.1" customHeight="1" thickBot="1">
      <c r="A37" s="1139"/>
      <c r="B37" s="870" t="s">
        <v>232</v>
      </c>
      <c r="C37" s="1597">
        <v>6</v>
      </c>
      <c r="D37" s="894"/>
      <c r="E37" s="895">
        <v>6</v>
      </c>
      <c r="F37" s="818">
        <f>SUM(D37:E37)</f>
        <v>6</v>
      </c>
      <c r="G37" s="883"/>
      <c r="H37" s="1593">
        <v>10</v>
      </c>
      <c r="I37" s="1592">
        <v>3</v>
      </c>
      <c r="J37" s="1592">
        <v>3</v>
      </c>
      <c r="K37" s="1592">
        <v>4</v>
      </c>
      <c r="L37" s="818">
        <f t="shared" si="15"/>
        <v>20</v>
      </c>
      <c r="M37" s="879">
        <f t="shared" si="16"/>
        <v>26</v>
      </c>
      <c r="N37" s="908"/>
      <c r="O37" s="777"/>
      <c r="P37" s="777"/>
      <c r="Q37" s="776"/>
      <c r="R37" s="773"/>
      <c r="S37" s="158" t="str">
        <f>IF(AH37=1,Intake_missing,IF(AI37=1,Only_intake_recorded,"OK"))</f>
        <v>OK</v>
      </c>
      <c r="T37" s="790" t="str">
        <f>IF(OR(AJ37=1,AK37=1),Intake_inconsistent,"OK")</f>
        <v>Intake inconsistent with enrolments?</v>
      </c>
      <c r="U37" s="918"/>
      <c r="V37" s="919"/>
      <c r="W37" s="920"/>
      <c r="X37" s="770"/>
      <c r="Y37" s="158" t="str">
        <f>IF(AN37=1,Only_intake_recorded,"OK")</f>
        <v>OK</v>
      </c>
      <c r="Z37" s="790" t="str">
        <f>IF(OR(AO37=1,AP37=1),Intake_inconsistent,"OK")</f>
        <v>OK</v>
      </c>
      <c r="AA37" s="918"/>
      <c r="AB37" s="919"/>
      <c r="AC37" s="920"/>
      <c r="AD37" s="770"/>
      <c r="AE37" s="770"/>
      <c r="AH37" s="1559">
        <f>IF(AND($C37=0,$F37&gt;0),1,0)</f>
        <v>0</v>
      </c>
      <c r="AI37" s="1559">
        <f>IF(AND($C37&gt;0,$F37=0),1,0)</f>
        <v>0</v>
      </c>
      <c r="AJ37" s="1559">
        <f>IF($C37&gt;$F37,1,0)</f>
        <v>0</v>
      </c>
      <c r="AK37" s="1559">
        <f>IF(AND($C37&gt;0,$C37=$F37),1,0)</f>
        <v>1</v>
      </c>
      <c r="AL37" s="1569"/>
      <c r="AM37" s="1559"/>
      <c r="AN37" s="1559">
        <f>IF(AND($G37&gt;0,$L37=0),1,0)</f>
        <v>0</v>
      </c>
      <c r="AO37" s="1559">
        <f>IF($G37&gt;$L37,1,0)</f>
        <v>0</v>
      </c>
      <c r="AP37" s="1559">
        <f>IF(AND($G37&gt;0,$G37=$L37),1,0)</f>
        <v>0</v>
      </c>
    </row>
    <row r="38" spans="1:42" ht="35.1" customHeight="1" thickBot="1">
      <c r="A38" s="1139"/>
      <c r="B38" s="792" t="s">
        <v>2</v>
      </c>
      <c r="C38" s="904">
        <f t="shared" ref="C38:N38" si="22">SUM(C36:C37)</f>
        <v>72</v>
      </c>
      <c r="D38" s="888">
        <f t="shared" si="22"/>
        <v>0</v>
      </c>
      <c r="E38" s="889">
        <f t="shared" si="22"/>
        <v>72</v>
      </c>
      <c r="F38" s="892">
        <f t="shared" si="22"/>
        <v>72</v>
      </c>
      <c r="G38" s="882">
        <f t="shared" si="22"/>
        <v>0</v>
      </c>
      <c r="H38" s="888">
        <f t="shared" si="22"/>
        <v>93</v>
      </c>
      <c r="I38" s="889">
        <f t="shared" si="22"/>
        <v>87</v>
      </c>
      <c r="J38" s="889">
        <f t="shared" si="22"/>
        <v>89</v>
      </c>
      <c r="K38" s="889">
        <f t="shared" si="22"/>
        <v>81</v>
      </c>
      <c r="L38" s="892">
        <f t="shared" si="22"/>
        <v>350</v>
      </c>
      <c r="M38" s="881">
        <f t="shared" si="22"/>
        <v>422</v>
      </c>
      <c r="N38" s="905">
        <f t="shared" si="22"/>
        <v>0</v>
      </c>
      <c r="O38" s="777"/>
      <c r="P38" s="779"/>
      <c r="Q38" s="776"/>
      <c r="R38" s="773"/>
      <c r="S38" s="796"/>
      <c r="T38" s="796"/>
      <c r="U38" s="796"/>
      <c r="V38" s="797"/>
      <c r="W38" s="798"/>
      <c r="X38" s="770"/>
      <c r="Y38" s="770"/>
      <c r="Z38" s="770"/>
      <c r="AA38" s="770"/>
      <c r="AB38" s="770"/>
      <c r="AC38" s="770"/>
      <c r="AD38" s="770"/>
      <c r="AE38" s="770"/>
      <c r="AH38" s="1559"/>
      <c r="AI38" s="1559"/>
      <c r="AJ38" s="1558"/>
      <c r="AK38" s="1571"/>
      <c r="AL38" s="1569"/>
    </row>
    <row r="39" spans="1:42" s="1572" customFormat="1" ht="30" customHeight="1">
      <c r="A39" s="1140"/>
      <c r="B39" s="799" t="s">
        <v>247</v>
      </c>
      <c r="C39" s="799"/>
      <c r="D39" s="799"/>
      <c r="E39" s="799"/>
      <c r="F39" s="799"/>
      <c r="G39" s="799"/>
      <c r="H39" s="799"/>
      <c r="I39" s="799"/>
      <c r="J39" s="799"/>
      <c r="K39" s="799"/>
      <c r="L39" s="799"/>
      <c r="M39" s="799"/>
      <c r="N39" s="799"/>
      <c r="O39" s="799"/>
      <c r="P39" s="799"/>
      <c r="Q39" s="800"/>
      <c r="R39" s="801"/>
      <c r="S39" s="802"/>
      <c r="T39" s="802"/>
      <c r="U39" s="802"/>
      <c r="V39" s="802"/>
      <c r="W39" s="802"/>
      <c r="X39" s="802"/>
      <c r="Y39" s="802"/>
      <c r="Z39" s="802"/>
      <c r="AA39" s="802"/>
      <c r="AB39" s="802"/>
      <c r="AC39" s="802"/>
      <c r="AD39" s="802"/>
      <c r="AE39" s="802"/>
    </row>
    <row r="40" spans="1:42" s="1572" customFormat="1" ht="15" customHeight="1">
      <c r="A40" s="1142"/>
      <c r="B40" s="229"/>
      <c r="C40" s="229"/>
      <c r="D40" s="803"/>
      <c r="E40" s="803"/>
      <c r="F40" s="803"/>
      <c r="G40" s="803"/>
      <c r="H40" s="803"/>
      <c r="I40" s="803"/>
      <c r="J40" s="803"/>
      <c r="K40" s="803"/>
      <c r="L40" s="803"/>
      <c r="M40" s="803"/>
      <c r="N40" s="803"/>
      <c r="O40" s="803"/>
      <c r="P40" s="803"/>
      <c r="Q40" s="804"/>
      <c r="R40" s="801"/>
      <c r="S40" s="802"/>
      <c r="T40" s="802"/>
      <c r="U40" s="802"/>
      <c r="V40" s="805"/>
      <c r="W40" s="805"/>
      <c r="X40" s="802"/>
      <c r="Y40" s="802"/>
      <c r="Z40" s="802"/>
      <c r="AA40" s="802"/>
      <c r="AB40" s="802"/>
      <c r="AC40" s="802"/>
      <c r="AD40" s="802"/>
      <c r="AE40" s="802"/>
    </row>
    <row r="41" spans="1:42" ht="12.75" customHeight="1">
      <c r="C41" s="1562"/>
      <c r="D41" s="1560"/>
      <c r="E41" s="1560"/>
      <c r="F41" s="1560"/>
      <c r="G41" s="1560"/>
      <c r="H41" s="1560"/>
      <c r="I41" s="1560"/>
      <c r="J41" s="1560"/>
      <c r="K41" s="1560"/>
      <c r="L41" s="1560"/>
      <c r="M41" s="1560"/>
      <c r="N41" s="1560"/>
      <c r="O41" s="1560"/>
      <c r="P41" s="1560"/>
      <c r="Q41" s="1560"/>
      <c r="R41" s="1560"/>
      <c r="S41" s="1560"/>
      <c r="T41" s="1560"/>
      <c r="U41" s="1560"/>
    </row>
  </sheetData>
  <sheetProtection password="E23E" sheet="1" objects="1" scenarios="1"/>
  <mergeCells count="41">
    <mergeCell ref="AA30:AC30"/>
    <mergeCell ref="V31:V32"/>
    <mergeCell ref="AB31:AB32"/>
    <mergeCell ref="AH10:AK10"/>
    <mergeCell ref="AH11:AH13"/>
    <mergeCell ref="AI11:AI13"/>
    <mergeCell ref="AJ11:AJ13"/>
    <mergeCell ref="AK11:AK13"/>
    <mergeCell ref="S29:W29"/>
    <mergeCell ref="Y29:AC29"/>
    <mergeCell ref="S30:S31"/>
    <mergeCell ref="T30:T31"/>
    <mergeCell ref="U30:W30"/>
    <mergeCell ref="Y30:Y31"/>
    <mergeCell ref="Z30:Z31"/>
    <mergeCell ref="V13:V14"/>
    <mergeCell ref="AM10:AP10"/>
    <mergeCell ref="AM11:AM13"/>
    <mergeCell ref="AN11:AN13"/>
    <mergeCell ref="AO11:AO13"/>
    <mergeCell ref="AP11:AP13"/>
    <mergeCell ref="U12:W12"/>
    <mergeCell ref="S11:W11"/>
    <mergeCell ref="S12:S13"/>
    <mergeCell ref="T12:T13"/>
    <mergeCell ref="Y11:AC11"/>
    <mergeCell ref="Y12:Y13"/>
    <mergeCell ref="Z12:Z13"/>
    <mergeCell ref="AA12:AC12"/>
    <mergeCell ref="AB13:AB14"/>
    <mergeCell ref="C4:E4"/>
    <mergeCell ref="P9:P11"/>
    <mergeCell ref="C9:O9"/>
    <mergeCell ref="C10:I10"/>
    <mergeCell ref="J10:N10"/>
    <mergeCell ref="B8:P8"/>
    <mergeCell ref="G28:L28"/>
    <mergeCell ref="N27:N29"/>
    <mergeCell ref="C27:M27"/>
    <mergeCell ref="B26:N26"/>
    <mergeCell ref="C28:F28"/>
  </mergeCells>
  <conditionalFormatting sqref="G37">
    <cfRule type="expression" dxfId="104" priority="54">
      <formula>$F$4=4</formula>
    </cfRule>
    <cfRule type="expression" dxfId="103" priority="55">
      <formula>$F$4=3</formula>
    </cfRule>
    <cfRule type="expression" dxfId="102" priority="71" stopIfTrue="1">
      <formula>$F$4=0</formula>
    </cfRule>
  </conditionalFormatting>
  <conditionalFormatting sqref="C20:F21 C18:D18 P20:P22">
    <cfRule type="expression" dxfId="101" priority="64" stopIfTrue="1">
      <formula>$F$4=0</formula>
    </cfRule>
  </conditionalFormatting>
  <conditionalFormatting sqref="P16:P17">
    <cfRule type="expression" dxfId="100" priority="63" stopIfTrue="1">
      <formula>$F$4=0</formula>
    </cfRule>
  </conditionalFormatting>
  <conditionalFormatting sqref="B2">
    <cfRule type="expression" dxfId="99" priority="62" stopIfTrue="1">
      <formula>#REF!=0</formula>
    </cfRule>
  </conditionalFormatting>
  <conditionalFormatting sqref="A1:AE1">
    <cfRule type="expression" dxfId="98" priority="97" stopIfTrue="1">
      <formula>$F$4=0</formula>
    </cfRule>
  </conditionalFormatting>
  <conditionalFormatting sqref="P34:P37">
    <cfRule type="expression" dxfId="97" priority="60">
      <formula>$F$4&lt;&gt;1</formula>
    </cfRule>
  </conditionalFormatting>
  <conditionalFormatting sqref="G16:H17 G20:H22">
    <cfRule type="expression" dxfId="96" priority="59">
      <formula>$F$4&lt;&gt;4</formula>
    </cfRule>
  </conditionalFormatting>
  <conditionalFormatting sqref="N34:N35 N37">
    <cfRule type="expression" dxfId="95" priority="51">
      <formula>$F$4=4</formula>
    </cfRule>
    <cfRule type="expression" dxfId="94" priority="52">
      <formula>$F$4=3</formula>
    </cfRule>
    <cfRule type="expression" dxfId="93" priority="56">
      <formula>$F$4=0</formula>
    </cfRule>
  </conditionalFormatting>
  <conditionalFormatting sqref="S16:W18 S34:W36 AB36:AC36 Y36:AA37 Y34:Z35 AC34:AC35 AC16:AC17 Y16:Z17">
    <cfRule type="expression" dxfId="92" priority="50" stopIfTrue="1">
      <formula>$F$4=0</formula>
    </cfRule>
  </conditionalFormatting>
  <conditionalFormatting sqref="S17:V18">
    <cfRule type="expression" dxfId="91" priority="48" stopIfTrue="1">
      <formula>$F$4=0</formula>
    </cfRule>
  </conditionalFormatting>
  <conditionalFormatting sqref="S20:U22">
    <cfRule type="expression" dxfId="90" priority="47" stopIfTrue="1">
      <formula>$F$4=0</formula>
    </cfRule>
  </conditionalFormatting>
  <conditionalFormatting sqref="S35:V36">
    <cfRule type="expression" dxfId="89" priority="46" stopIfTrue="1">
      <formula>$F$4=0</formula>
    </cfRule>
  </conditionalFormatting>
  <conditionalFormatting sqref="S37:U37">
    <cfRule type="expression" dxfId="88" priority="45" stopIfTrue="1">
      <formula>$F$4=0</formula>
    </cfRule>
  </conditionalFormatting>
  <conditionalFormatting sqref="Y18:AC18">
    <cfRule type="expression" dxfId="87" priority="44" stopIfTrue="1">
      <formula>$F$4=0</formula>
    </cfRule>
  </conditionalFormatting>
  <conditionalFormatting sqref="Y18:AA18">
    <cfRule type="expression" dxfId="86" priority="43" stopIfTrue="1">
      <formula>$F$4=0</formula>
    </cfRule>
  </conditionalFormatting>
  <conditionalFormatting sqref="AB18">
    <cfRule type="expression" dxfId="85" priority="41" stopIfTrue="1">
      <formula>$F$4=0</formula>
    </cfRule>
  </conditionalFormatting>
  <conditionalFormatting sqref="Y20:AA22">
    <cfRule type="expression" dxfId="84" priority="40" stopIfTrue="1">
      <formula>$F$4=0</formula>
    </cfRule>
  </conditionalFormatting>
  <conditionalFormatting sqref="AB36">
    <cfRule type="expression" dxfId="83" priority="38" stopIfTrue="1">
      <formula>$F$4=0</formula>
    </cfRule>
  </conditionalFormatting>
  <conditionalFormatting sqref="E18:I18">
    <cfRule type="expression" dxfId="82" priority="37" stopIfTrue="1">
      <formula>$F$4=0</formula>
    </cfRule>
  </conditionalFormatting>
  <conditionalFormatting sqref="J18:O18">
    <cfRule type="expression" dxfId="81" priority="36" stopIfTrue="1">
      <formula>$F$4=0</formula>
    </cfRule>
  </conditionalFormatting>
  <conditionalFormatting sqref="P18">
    <cfRule type="expression" dxfId="80" priority="35" stopIfTrue="1">
      <formula>$F$4=0</formula>
    </cfRule>
  </conditionalFormatting>
  <conditionalFormatting sqref="C36">
    <cfRule type="expression" dxfId="79" priority="34" stopIfTrue="1">
      <formula>$F$4=0</formula>
    </cfRule>
  </conditionalFormatting>
  <conditionalFormatting sqref="D36">
    <cfRule type="expression" dxfId="78" priority="33" stopIfTrue="1">
      <formula>$F$4=0</formula>
    </cfRule>
  </conditionalFormatting>
  <conditionalFormatting sqref="E36:F36">
    <cfRule type="expression" dxfId="77" priority="32" stopIfTrue="1">
      <formula>$F$4=0</formula>
    </cfRule>
  </conditionalFormatting>
  <conditionalFormatting sqref="G36">
    <cfRule type="expression" dxfId="76" priority="31" stopIfTrue="1">
      <formula>$F$4=0</formula>
    </cfRule>
  </conditionalFormatting>
  <conditionalFormatting sqref="H36">
    <cfRule type="expression" dxfId="75" priority="30" stopIfTrue="1">
      <formula>$F$4=0</formula>
    </cfRule>
  </conditionalFormatting>
  <conditionalFormatting sqref="I36">
    <cfRule type="expression" dxfId="74" priority="29" stopIfTrue="1">
      <formula>$F$4=0</formula>
    </cfRule>
  </conditionalFormatting>
  <conditionalFormatting sqref="J36:K36">
    <cfRule type="expression" dxfId="73" priority="28" stopIfTrue="1">
      <formula>$F$4=0</formula>
    </cfRule>
  </conditionalFormatting>
  <conditionalFormatting sqref="L36">
    <cfRule type="expression" dxfId="72" priority="27" stopIfTrue="1">
      <formula>$F$4=0</formula>
    </cfRule>
  </conditionalFormatting>
  <conditionalFormatting sqref="M36">
    <cfRule type="expression" dxfId="71" priority="26" stopIfTrue="1">
      <formula>$F$4=0</formula>
    </cfRule>
  </conditionalFormatting>
  <conditionalFormatting sqref="N36">
    <cfRule type="expression" dxfId="70" priority="25" stopIfTrue="1">
      <formula>$F$4=0</formula>
    </cfRule>
  </conditionalFormatting>
  <conditionalFormatting sqref="U35:V35">
    <cfRule type="expression" dxfId="69" priority="24" stopIfTrue="1">
      <formula>$F$4=0</formula>
    </cfRule>
  </conditionalFormatting>
  <conditionalFormatting sqref="AB34:AB35">
    <cfRule type="expression" dxfId="68" priority="23" stopIfTrue="1">
      <formula>$F$4=0</formula>
    </cfRule>
  </conditionalFormatting>
  <conditionalFormatting sqref="AB35">
    <cfRule type="expression" dxfId="67" priority="22" stopIfTrue="1">
      <formula>$F$4=0</formula>
    </cfRule>
  </conditionalFormatting>
  <conditionalFormatting sqref="AB35">
    <cfRule type="expression" dxfId="66" priority="21" stopIfTrue="1">
      <formula>$F$4=0</formula>
    </cfRule>
  </conditionalFormatting>
  <conditionalFormatting sqref="AB16:AB17">
    <cfRule type="expression" dxfId="65" priority="20" stopIfTrue="1">
      <formula>$F$4=0</formula>
    </cfRule>
  </conditionalFormatting>
  <conditionalFormatting sqref="AB17">
    <cfRule type="expression" dxfId="64" priority="19" stopIfTrue="1">
      <formula>$F$4=0</formula>
    </cfRule>
  </conditionalFormatting>
  <conditionalFormatting sqref="AA16:AA17">
    <cfRule type="expression" dxfId="63" priority="18" stopIfTrue="1">
      <formula>$F$4=0</formula>
    </cfRule>
  </conditionalFormatting>
  <conditionalFormatting sqref="AA17">
    <cfRule type="expression" dxfId="62" priority="17" stopIfTrue="1">
      <formula>$F$4=0</formula>
    </cfRule>
  </conditionalFormatting>
  <conditionalFormatting sqref="U35">
    <cfRule type="expression" dxfId="61" priority="16" stopIfTrue="1">
      <formula>$F$4=0</formula>
    </cfRule>
  </conditionalFormatting>
  <conditionalFormatting sqref="AA34:AA35">
    <cfRule type="expression" dxfId="60" priority="15" stopIfTrue="1">
      <formula>$F$4=0</formula>
    </cfRule>
  </conditionalFormatting>
  <conditionalFormatting sqref="AA35">
    <cfRule type="expression" dxfId="59" priority="14" stopIfTrue="1">
      <formula>$F$4=0</formula>
    </cfRule>
  </conditionalFormatting>
  <conditionalFormatting sqref="AA35">
    <cfRule type="expression" dxfId="58" priority="13" stopIfTrue="1">
      <formula>$F$4=0</formula>
    </cfRule>
  </conditionalFormatting>
  <conditionalFormatting sqref="AA35">
    <cfRule type="expression" dxfId="57" priority="12" stopIfTrue="1">
      <formula>$F$4=0</formula>
    </cfRule>
  </conditionalFormatting>
  <conditionalFormatting sqref="C16:F17">
    <cfRule type="expression" dxfId="56" priority="11" stopIfTrue="1">
      <formula>$F$4=0</formula>
    </cfRule>
  </conditionalFormatting>
  <conditionalFormatting sqref="C22:F22">
    <cfRule type="expression" dxfId="55" priority="10" stopIfTrue="1">
      <formula>$F$4=0</formula>
    </cfRule>
  </conditionalFormatting>
  <conditionalFormatting sqref="G34:G35">
    <cfRule type="expression" dxfId="54" priority="7">
      <formula>$F$4=4</formula>
    </cfRule>
    <cfRule type="expression" dxfId="53" priority="8">
      <formula>$F$4=3</formula>
    </cfRule>
    <cfRule type="expression" dxfId="52" priority="9" stopIfTrue="1">
      <formula>$F$4=0</formula>
    </cfRule>
  </conditionalFormatting>
  <conditionalFormatting sqref="H34:K35">
    <cfRule type="expression" dxfId="51" priority="4">
      <formula>$F$4=4</formula>
    </cfRule>
    <cfRule type="expression" dxfId="50" priority="5">
      <formula>$F$4=3</formula>
    </cfRule>
    <cfRule type="expression" dxfId="49" priority="6" stopIfTrue="1">
      <formula>$F$4=0</formula>
    </cfRule>
  </conditionalFormatting>
  <conditionalFormatting sqref="H37:K37">
    <cfRule type="expression" dxfId="48" priority="1">
      <formula>$F$4=4</formula>
    </cfRule>
    <cfRule type="expression" dxfId="47" priority="2">
      <formula>$F$4=3</formula>
    </cfRule>
    <cfRule type="expression" dxfId="46" priority="3" stopIfTrue="1">
      <formula>$F$4=0</formula>
    </cfRule>
  </conditionalFormatting>
  <dataValidations count="1">
    <dataValidation type="custom" allowBlank="1" showErrorMessage="1" errorTitle="Number less than 0" error="You are trying to enter a number which is less than 0, please re-enter a valid number." sqref="D25:P25 C34:C38 C16:C25 O18:P18 F24:P24 N18:N19 D38:M38 D16:H22 I18:I19 J16:L17 J19:L22 J18:M18 D23:E24 F23:N23 D34:E35 D37:E37 D36:N36">
      <formula1>C16&gt;=0</formula1>
    </dataValidation>
  </dataValidations>
  <printOptions horizontalCentered="1" verticalCentered="1" gridLines="1" gridLinesSet="0"/>
  <pageMargins left="0.19685039370078741" right="0.19685039370078741" top="0.15748031496062992" bottom="0.15748031496062992" header="0.23622047244094491" footer="0.27559055118110237"/>
  <pageSetup paperSize="9" scale="4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7"/>
  <sheetViews>
    <sheetView zoomScale="75" workbookViewId="0"/>
  </sheetViews>
  <sheetFormatPr defaultRowHeight="15"/>
  <cols>
    <col min="1" max="1" width="2.7109375" style="1547" customWidth="1"/>
    <col min="2" max="2" width="28.7109375" style="1547" customWidth="1"/>
    <col min="3" max="3" width="14.28515625" style="1547" customWidth="1"/>
    <col min="4" max="6" width="12.7109375" style="1547" customWidth="1"/>
    <col min="7" max="7" width="13.7109375" style="1547" customWidth="1"/>
    <col min="8" max="9" width="4.7109375" style="1547" customWidth="1"/>
    <col min="10" max="10" width="27.42578125" style="1547" customWidth="1"/>
    <col min="11" max="11" width="32.7109375" style="1547" customWidth="1"/>
    <col min="12" max="12" width="4.7109375" style="1547" customWidth="1"/>
    <col min="13" max="14" width="12.7109375" style="1547" customWidth="1"/>
    <col min="15" max="15" width="32.7109375" style="1547" customWidth="1"/>
    <col min="16" max="16" width="10.7109375" style="1547" customWidth="1"/>
    <col min="17" max="17" width="9.140625" style="1573"/>
    <col min="18" max="21" width="12.7109375" style="1547" hidden="1" customWidth="1"/>
    <col min="22" max="16384" width="9.140625" style="1547"/>
  </cols>
  <sheetData>
    <row r="1" spans="1:22" ht="39.950000000000003" customHeight="1">
      <c r="A1" s="580"/>
      <c r="B1" s="630" t="str">
        <f>IF(F4=0,"Your Institution Does Not Complete This Table","")</f>
        <v>Your Institution Does Not Complete This Table</v>
      </c>
      <c r="C1" s="580"/>
      <c r="D1" s="580"/>
      <c r="E1" s="580"/>
      <c r="F1" s="580"/>
      <c r="G1" s="580"/>
      <c r="H1" s="580"/>
      <c r="I1" s="580"/>
      <c r="J1" s="580"/>
      <c r="K1" s="580"/>
      <c r="L1" s="580"/>
      <c r="M1" s="580"/>
      <c r="N1" s="580"/>
      <c r="O1" s="580"/>
      <c r="P1" s="580"/>
    </row>
    <row r="2" spans="1:22" ht="30" customHeight="1">
      <c r="A2" s="1099"/>
      <c r="B2" s="933" t="s">
        <v>311</v>
      </c>
      <c r="C2" s="246"/>
      <c r="D2" s="246"/>
      <c r="E2" s="246"/>
      <c r="F2" s="246"/>
      <c r="G2" s="247"/>
      <c r="H2" s="248"/>
      <c r="I2" s="589"/>
      <c r="J2" s="66"/>
      <c r="K2" s="66"/>
      <c r="L2" s="589"/>
      <c r="M2" s="589"/>
      <c r="N2" s="589"/>
      <c r="O2" s="589"/>
      <c r="P2" s="589"/>
      <c r="R2" s="1669" t="s">
        <v>308</v>
      </c>
      <c r="S2" s="1669" t="s">
        <v>309</v>
      </c>
      <c r="T2" s="1669" t="s">
        <v>297</v>
      </c>
      <c r="U2" s="1669" t="s">
        <v>310</v>
      </c>
      <c r="V2" s="1564"/>
    </row>
    <row r="3" spans="1:22" ht="15" customHeight="1">
      <c r="A3" s="951"/>
      <c r="B3" s="208"/>
      <c r="C3" s="249"/>
      <c r="D3" s="250"/>
      <c r="E3" s="250"/>
      <c r="F3" s="250"/>
      <c r="G3" s="250"/>
      <c r="H3" s="251"/>
      <c r="I3" s="250"/>
      <c r="J3" s="66"/>
      <c r="K3" s="66"/>
      <c r="L3" s="250"/>
      <c r="M3" s="250"/>
      <c r="N3" s="250"/>
      <c r="O3" s="250"/>
      <c r="P3" s="250"/>
      <c r="R3" s="1669"/>
      <c r="S3" s="1669"/>
      <c r="T3" s="1669"/>
      <c r="U3" s="1669"/>
      <c r="V3" s="1574"/>
    </row>
    <row r="4" spans="1:22" ht="35.1" customHeight="1">
      <c r="A4" s="951"/>
      <c r="B4" s="1138" t="s">
        <v>0</v>
      </c>
      <c r="C4" s="1722" t="str">
        <f>Background!$D$2</f>
        <v>Glasgow, University of</v>
      </c>
      <c r="D4" s="1723"/>
      <c r="E4" s="1724"/>
      <c r="F4" s="582">
        <f>VLOOKUP(Background!$C$2,Inst_Tables,8,FALSE)</f>
        <v>0</v>
      </c>
      <c r="G4" s="252"/>
      <c r="H4" s="253"/>
      <c r="I4" s="252"/>
      <c r="J4" s="66"/>
      <c r="K4" s="66"/>
      <c r="L4" s="252"/>
      <c r="M4" s="252"/>
      <c r="N4" s="252"/>
      <c r="O4" s="252"/>
      <c r="P4" s="252"/>
      <c r="R4" s="1669"/>
      <c r="S4" s="1669"/>
      <c r="T4" s="1669"/>
      <c r="U4" s="1669"/>
    </row>
    <row r="5" spans="1:22" ht="35.1" customHeight="1">
      <c r="A5" s="951"/>
      <c r="B5" s="1146" t="s">
        <v>432</v>
      </c>
      <c r="C5" s="254"/>
      <c r="D5" s="254"/>
      <c r="E5" s="254"/>
      <c r="F5" s="254"/>
      <c r="G5" s="254"/>
      <c r="H5" s="255"/>
      <c r="I5" s="254"/>
      <c r="J5" s="66"/>
      <c r="K5" s="66"/>
      <c r="L5" s="254"/>
      <c r="M5" s="254"/>
      <c r="N5" s="254"/>
      <c r="O5" s="254"/>
      <c r="P5" s="254"/>
      <c r="R5" s="1669"/>
      <c r="S5" s="1669"/>
      <c r="T5" s="1669"/>
      <c r="U5" s="1669"/>
    </row>
    <row r="6" spans="1:22" ht="30" customHeight="1">
      <c r="A6" s="951"/>
      <c r="B6" s="73" t="s">
        <v>452</v>
      </c>
      <c r="C6" s="254"/>
      <c r="D6" s="254"/>
      <c r="E6" s="254"/>
      <c r="F6" s="254"/>
      <c r="G6" s="254"/>
      <c r="H6" s="255"/>
      <c r="I6" s="254"/>
      <c r="J6" s="66"/>
      <c r="K6" s="66"/>
      <c r="L6" s="254"/>
      <c r="M6" s="254"/>
      <c r="N6" s="254"/>
      <c r="O6" s="254"/>
      <c r="P6" s="254"/>
      <c r="R6" s="1669"/>
      <c r="S6" s="1669"/>
      <c r="T6" s="1669"/>
      <c r="U6" s="1669"/>
    </row>
    <row r="7" spans="1:22" ht="15" customHeight="1" thickBot="1">
      <c r="A7" s="951"/>
      <c r="B7" s="1147"/>
      <c r="C7" s="254"/>
      <c r="D7" s="254"/>
      <c r="E7" s="254"/>
      <c r="F7" s="254"/>
      <c r="G7" s="254"/>
      <c r="H7" s="255"/>
      <c r="I7" s="254"/>
      <c r="J7" s="66"/>
      <c r="K7" s="66"/>
      <c r="L7" s="254"/>
      <c r="M7" s="254"/>
      <c r="N7" s="254"/>
      <c r="O7" s="254"/>
      <c r="P7" s="254"/>
      <c r="R7" s="1669"/>
      <c r="S7" s="1669"/>
      <c r="T7" s="1669"/>
      <c r="U7" s="1669"/>
    </row>
    <row r="8" spans="1:22" ht="39.950000000000003" customHeight="1">
      <c r="A8" s="951"/>
      <c r="B8" s="1360"/>
      <c r="C8" s="1725" t="s">
        <v>152</v>
      </c>
      <c r="D8" s="1692" t="s">
        <v>44</v>
      </c>
      <c r="E8" s="1692"/>
      <c r="F8" s="1692"/>
      <c r="G8" s="1693"/>
      <c r="H8" s="255"/>
      <c r="I8" s="254"/>
      <c r="J8" s="66"/>
      <c r="K8" s="66"/>
      <c r="L8" s="254"/>
      <c r="M8" s="254"/>
      <c r="N8" s="254"/>
      <c r="O8" s="254"/>
      <c r="P8" s="254"/>
      <c r="R8" s="1669"/>
      <c r="S8" s="1669"/>
      <c r="T8" s="1669"/>
      <c r="U8" s="1669"/>
    </row>
    <row r="9" spans="1:22" ht="32.25" customHeight="1">
      <c r="A9" s="951"/>
      <c r="B9" s="1361"/>
      <c r="C9" s="1726"/>
      <c r="D9" s="1364" t="s">
        <v>39</v>
      </c>
      <c r="E9" s="256" t="s">
        <v>28</v>
      </c>
      <c r="F9" s="256" t="s">
        <v>29</v>
      </c>
      <c r="G9" s="257" t="s">
        <v>2</v>
      </c>
      <c r="H9" s="255"/>
      <c r="I9" s="254"/>
      <c r="J9" s="66"/>
      <c r="K9" s="66"/>
      <c r="L9" s="254"/>
      <c r="M9" s="254"/>
      <c r="N9" s="254"/>
      <c r="O9" s="254"/>
      <c r="P9" s="254"/>
      <c r="R9" s="1560"/>
      <c r="S9" s="1560"/>
      <c r="T9" s="1560"/>
      <c r="U9" s="1575"/>
    </row>
    <row r="10" spans="1:22" ht="30" customHeight="1" thickBot="1">
      <c r="A10" s="951"/>
      <c r="B10" s="1333" t="s">
        <v>400</v>
      </c>
      <c r="C10" s="1368" t="s">
        <v>32</v>
      </c>
      <c r="D10" s="1365" t="s">
        <v>32</v>
      </c>
      <c r="E10" s="167" t="s">
        <v>32</v>
      </c>
      <c r="F10" s="167" t="s">
        <v>32</v>
      </c>
      <c r="G10" s="172" t="s">
        <v>32</v>
      </c>
      <c r="H10" s="258"/>
      <c r="I10" s="254"/>
      <c r="J10" s="261"/>
      <c r="K10" s="261"/>
      <c r="L10" s="254"/>
      <c r="M10" s="254"/>
      <c r="N10" s="254"/>
      <c r="O10" s="254"/>
      <c r="P10" s="254"/>
      <c r="R10" s="1558" t="s">
        <v>94</v>
      </c>
      <c r="S10" s="1558" t="s">
        <v>94</v>
      </c>
      <c r="T10" s="1558" t="s">
        <v>94</v>
      </c>
      <c r="U10" s="1558" t="s">
        <v>94</v>
      </c>
    </row>
    <row r="11" spans="1:22" ht="39.950000000000003" customHeight="1">
      <c r="A11" s="951"/>
      <c r="B11" s="1362"/>
      <c r="C11" s="1369" t="s">
        <v>47</v>
      </c>
      <c r="D11" s="1366" t="s">
        <v>47</v>
      </c>
      <c r="E11" s="566" t="s">
        <v>47</v>
      </c>
      <c r="F11" s="566" t="s">
        <v>47</v>
      </c>
      <c r="G11" s="574" t="s">
        <v>3</v>
      </c>
      <c r="H11" s="255"/>
      <c r="I11" s="254"/>
      <c r="J11" s="593" t="s">
        <v>269</v>
      </c>
      <c r="K11" s="594" t="s">
        <v>267</v>
      </c>
      <c r="L11" s="254"/>
      <c r="M11" s="254"/>
      <c r="N11" s="254"/>
      <c r="O11" s="254"/>
      <c r="P11" s="254"/>
    </row>
    <row r="12" spans="1:22" ht="24.95" customHeight="1" thickBot="1">
      <c r="A12" s="951"/>
      <c r="B12" s="1363"/>
      <c r="C12" s="1370" t="s">
        <v>4</v>
      </c>
      <c r="D12" s="1367" t="s">
        <v>5</v>
      </c>
      <c r="E12" s="174" t="s">
        <v>6</v>
      </c>
      <c r="F12" s="174" t="s">
        <v>7</v>
      </c>
      <c r="G12" s="175" t="s">
        <v>8</v>
      </c>
      <c r="H12" s="258"/>
      <c r="I12" s="254"/>
      <c r="J12" s="595"/>
      <c r="K12" s="1257"/>
      <c r="L12" s="254"/>
      <c r="M12" s="254"/>
      <c r="N12" s="254"/>
      <c r="O12" s="254"/>
      <c r="P12" s="254"/>
    </row>
    <row r="13" spans="1:22" ht="35.1" customHeight="1">
      <c r="A13" s="951"/>
      <c r="B13" s="1333" t="s">
        <v>25</v>
      </c>
      <c r="C13" s="1347"/>
      <c r="D13" s="567"/>
      <c r="E13" s="566"/>
      <c r="F13" s="566"/>
      <c r="G13" s="568"/>
      <c r="H13" s="258"/>
      <c r="I13" s="254"/>
      <c r="J13" s="596"/>
      <c r="K13" s="597"/>
      <c r="L13" s="254"/>
      <c r="M13" s="254"/>
      <c r="N13" s="254"/>
      <c r="O13" s="254"/>
      <c r="P13" s="254"/>
    </row>
    <row r="14" spans="1:22" ht="30" customHeight="1">
      <c r="A14" s="951"/>
      <c r="B14" s="1334" t="s">
        <v>51</v>
      </c>
      <c r="C14" s="1348"/>
      <c r="D14" s="254"/>
      <c r="E14" s="259"/>
      <c r="F14" s="259"/>
      <c r="G14" s="260"/>
      <c r="H14" s="258"/>
      <c r="I14" s="254"/>
      <c r="J14" s="598"/>
      <c r="K14" s="599"/>
      <c r="L14" s="254"/>
      <c r="M14" s="254"/>
      <c r="N14" s="254"/>
      <c r="O14" s="254"/>
      <c r="P14" s="254"/>
    </row>
    <row r="15" spans="1:22" ht="24.95" customHeight="1">
      <c r="A15" s="951"/>
      <c r="B15" s="1335" t="s">
        <v>52</v>
      </c>
      <c r="C15" s="1349"/>
      <c r="D15" s="140"/>
      <c r="E15" s="100"/>
      <c r="F15" s="100"/>
      <c r="G15" s="570">
        <f>SUM(D15:F15)</f>
        <v>0</v>
      </c>
      <c r="H15" s="263"/>
      <c r="I15" s="590"/>
      <c r="J15" s="145" t="str">
        <f>IF(R15=1,Intake_missing,IF(S15=1,Only_intake_recorded,"OK"))</f>
        <v>OK</v>
      </c>
      <c r="K15" s="600" t="str">
        <f>IF(OR(T15=1,U15=1),Intake_inconsistent,"OK")</f>
        <v>OK</v>
      </c>
      <c r="L15" s="590"/>
      <c r="M15" s="590"/>
      <c r="N15" s="590"/>
      <c r="O15" s="590"/>
      <c r="P15" s="590"/>
      <c r="R15" s="1558">
        <f>IF(AND(C15=0,G15&gt;0),1,0)</f>
        <v>0</v>
      </c>
      <c r="S15" s="1558">
        <f>IF(AND(C15&gt;0,G15=0),1,0)</f>
        <v>0</v>
      </c>
      <c r="T15" s="1558">
        <f>IF(C15&gt;G15,1,0)</f>
        <v>0</v>
      </c>
      <c r="U15" s="1558">
        <f>IF(AND(SUM(E15:F15)&gt;0,C15=G15),1,0)</f>
        <v>0</v>
      </c>
    </row>
    <row r="16" spans="1:22" ht="24.95" customHeight="1">
      <c r="A16" s="951"/>
      <c r="B16" s="1335" t="s">
        <v>53</v>
      </c>
      <c r="C16" s="1350"/>
      <c r="D16" s="140"/>
      <c r="E16" s="100"/>
      <c r="F16" s="100"/>
      <c r="G16" s="570">
        <f>SUM(D16:F16)</f>
        <v>0</v>
      </c>
      <c r="H16" s="263"/>
      <c r="I16" s="590"/>
      <c r="J16" s="145" t="str">
        <f>IF(R16=1,Intake_missing,IF(S16=1,Only_intake_recorded,"OK"))</f>
        <v>OK</v>
      </c>
      <c r="K16" s="600" t="str">
        <f>IF(OR(T16=1,U16=1),Intake_inconsistent,"OK")</f>
        <v>OK</v>
      </c>
      <c r="L16" s="590"/>
      <c r="M16" s="590"/>
      <c r="N16" s="590"/>
      <c r="O16" s="590"/>
      <c r="P16" s="590"/>
      <c r="R16" s="1558"/>
      <c r="S16" s="1558"/>
      <c r="T16" s="1558"/>
    </row>
    <row r="17" spans="1:21" ht="24.95" customHeight="1">
      <c r="A17" s="951"/>
      <c r="B17" s="1335" t="s">
        <v>54</v>
      </c>
      <c r="C17" s="1351"/>
      <c r="D17" s="586"/>
      <c r="E17" s="266"/>
      <c r="F17" s="266"/>
      <c r="G17" s="571">
        <f>SUM(D17:F17)</f>
        <v>0</v>
      </c>
      <c r="H17" s="263"/>
      <c r="I17" s="590"/>
      <c r="J17" s="145" t="str">
        <f>IF(R17=1,Intake_missing,IF(S17=1,Only_intake_recorded,"OK"))</f>
        <v>OK</v>
      </c>
      <c r="K17" s="600" t="str">
        <f>IF(OR(T17=1,U17=1),Intake_inconsistent,"OK")</f>
        <v>OK</v>
      </c>
      <c r="L17" s="590"/>
      <c r="M17" s="590"/>
      <c r="N17" s="590"/>
      <c r="O17" s="590"/>
      <c r="P17" s="590"/>
      <c r="R17" s="1558">
        <f>IF(AND(C17=0,G17&gt;0),1,0)</f>
        <v>0</v>
      </c>
      <c r="S17" s="1558">
        <f>IF(AND(C17&gt;0,G17=0),1,0)</f>
        <v>0</v>
      </c>
      <c r="T17" s="1558">
        <f>IF(C17&gt;G17,1,0)</f>
        <v>0</v>
      </c>
      <c r="U17" s="1558">
        <f>IF(AND(SUM(E17:F17)&gt;0,C17=G17),1,0)</f>
        <v>0</v>
      </c>
    </row>
    <row r="18" spans="1:21" ht="24.95" customHeight="1">
      <c r="A18" s="951"/>
      <c r="B18" s="1336" t="s">
        <v>2</v>
      </c>
      <c r="C18" s="1352">
        <f>SUM(C15:C17)</f>
        <v>0</v>
      </c>
      <c r="D18" s="1342">
        <f>SUM(D15:D17)</f>
        <v>0</v>
      </c>
      <c r="E18" s="267">
        <f>SUM(E15:E17)</f>
        <v>0</v>
      </c>
      <c r="F18" s="267">
        <f>SUM(F15:F17)</f>
        <v>0</v>
      </c>
      <c r="G18" s="570">
        <f>SUM(D18:F18)</f>
        <v>0</v>
      </c>
      <c r="H18" s="263"/>
      <c r="I18" s="590"/>
      <c r="J18" s="602"/>
      <c r="K18" s="603"/>
      <c r="L18" s="590"/>
      <c r="M18" s="590"/>
      <c r="N18" s="590"/>
      <c r="O18" s="590"/>
      <c r="P18" s="590"/>
      <c r="R18" s="1558"/>
      <c r="S18" s="1558"/>
      <c r="T18" s="1558"/>
      <c r="U18" s="1558"/>
    </row>
    <row r="19" spans="1:21" ht="30" customHeight="1">
      <c r="A19" s="951"/>
      <c r="B19" s="1334" t="s">
        <v>55</v>
      </c>
      <c r="C19" s="1353"/>
      <c r="D19" s="265"/>
      <c r="E19" s="264"/>
      <c r="F19" s="264"/>
      <c r="G19" s="573"/>
      <c r="H19" s="263"/>
      <c r="I19" s="590"/>
      <c r="J19" s="604"/>
      <c r="K19" s="601"/>
      <c r="L19" s="590"/>
      <c r="M19" s="590"/>
      <c r="N19" s="590"/>
      <c r="O19" s="590"/>
      <c r="P19" s="590"/>
    </row>
    <row r="20" spans="1:21" ht="24.95" customHeight="1">
      <c r="A20" s="951"/>
      <c r="B20" s="1335" t="s">
        <v>52</v>
      </c>
      <c r="C20" s="1349"/>
      <c r="D20" s="140"/>
      <c r="E20" s="100"/>
      <c r="F20" s="100"/>
      <c r="G20" s="570">
        <f>SUM(D20:F20)</f>
        <v>0</v>
      </c>
      <c r="H20" s="263"/>
      <c r="I20" s="590"/>
      <c r="J20" s="145" t="str">
        <f>IF(R20=1,Intake_missing,IF(S20=1,Only_intake_recorded,"OK"))</f>
        <v>OK</v>
      </c>
      <c r="K20" s="600" t="str">
        <f>IF(OR(T20=1,U20=1),Intake_inconsistent,"OK")</f>
        <v>OK</v>
      </c>
      <c r="L20" s="590"/>
      <c r="M20" s="590"/>
      <c r="N20" s="590"/>
      <c r="O20" s="590"/>
      <c r="P20" s="590"/>
      <c r="R20" s="1558">
        <f>IF(AND(C20=0,G20&gt;0),1,0)</f>
        <v>0</v>
      </c>
      <c r="S20" s="1558">
        <f>IF(AND(C20&gt;0,G20=0),1,0)</f>
        <v>0</v>
      </c>
      <c r="T20" s="1558">
        <f>IF(C20&gt;G20,1,0)</f>
        <v>0</v>
      </c>
      <c r="U20" s="1558">
        <f>IF(AND(SUM(E20:F20)&gt;0,C20=G20),1,0)</f>
        <v>0</v>
      </c>
    </row>
    <row r="21" spans="1:21" ht="24.95" customHeight="1">
      <c r="A21" s="951"/>
      <c r="B21" s="1335" t="s">
        <v>53</v>
      </c>
      <c r="C21" s="1350"/>
      <c r="D21" s="140"/>
      <c r="E21" s="100"/>
      <c r="F21" s="100"/>
      <c r="G21" s="570">
        <f>SUM(D21:F21)</f>
        <v>0</v>
      </c>
      <c r="H21" s="263"/>
      <c r="I21" s="590"/>
      <c r="J21" s="145" t="str">
        <f>IF(R21=1,Intake_missing,IF(S21=1,Only_intake_recorded,"OK"))</f>
        <v>OK</v>
      </c>
      <c r="K21" s="600" t="str">
        <f>IF(OR(T21=1,U21=1),Intake_inconsistent,"OK")</f>
        <v>OK</v>
      </c>
      <c r="L21" s="590"/>
      <c r="M21" s="590"/>
      <c r="N21" s="590"/>
      <c r="O21" s="590"/>
      <c r="P21" s="590"/>
    </row>
    <row r="22" spans="1:21" ht="24.95" customHeight="1">
      <c r="A22" s="951"/>
      <c r="B22" s="1335" t="s">
        <v>54</v>
      </c>
      <c r="C22" s="1349"/>
      <c r="D22" s="140"/>
      <c r="E22" s="100"/>
      <c r="F22" s="100"/>
      <c r="G22" s="570">
        <f>SUM(D22:F22)</f>
        <v>0</v>
      </c>
      <c r="H22" s="263"/>
      <c r="I22" s="590"/>
      <c r="J22" s="145" t="str">
        <f>IF(R22=1,Intake_missing,IF(S22=1,Only_intake_recorded,"OK"))</f>
        <v>OK</v>
      </c>
      <c r="K22" s="600" t="str">
        <f>IF(OR(T22=1,U22=1),Intake_inconsistent,"OK")</f>
        <v>OK</v>
      </c>
      <c r="L22" s="590"/>
      <c r="M22" s="590"/>
      <c r="N22" s="590"/>
      <c r="O22" s="590"/>
      <c r="P22" s="590"/>
      <c r="R22" s="1558">
        <f>IF(AND(C22=0,G22&gt;0),1,0)</f>
        <v>0</v>
      </c>
      <c r="S22" s="1558">
        <f>IF(AND(C22&gt;0,G22=0),1,0)</f>
        <v>0</v>
      </c>
      <c r="T22" s="1558">
        <f>IF(C22&gt;G22,1,0)</f>
        <v>0</v>
      </c>
      <c r="U22" s="1558">
        <f>IF(AND(SUM(E22:F22)&gt;0,C22=G22),1,0)</f>
        <v>0</v>
      </c>
    </row>
    <row r="23" spans="1:21" ht="24.95" customHeight="1">
      <c r="A23" s="951"/>
      <c r="B23" s="1336" t="s">
        <v>2</v>
      </c>
      <c r="C23" s="1352">
        <f>SUM(C20:C22)</f>
        <v>0</v>
      </c>
      <c r="D23" s="1342">
        <f>SUM(D20:D22)</f>
        <v>0</v>
      </c>
      <c r="E23" s="267">
        <f>SUM(E20:E22)</f>
        <v>0</v>
      </c>
      <c r="F23" s="267">
        <f>SUM(F20:F22)</f>
        <v>0</v>
      </c>
      <c r="G23" s="570">
        <f>SUM(D23:F23)</f>
        <v>0</v>
      </c>
      <c r="H23" s="263"/>
      <c r="I23" s="590"/>
      <c r="J23" s="602"/>
      <c r="K23" s="603"/>
      <c r="L23" s="590"/>
      <c r="M23" s="590"/>
      <c r="N23" s="590"/>
      <c r="O23" s="590"/>
      <c r="P23" s="590"/>
      <c r="R23" s="1558"/>
      <c r="S23" s="1558"/>
      <c r="T23" s="1558"/>
      <c r="U23" s="1558"/>
    </row>
    <row r="24" spans="1:21" ht="30" customHeight="1">
      <c r="A24" s="951"/>
      <c r="B24" s="1334" t="s">
        <v>56</v>
      </c>
      <c r="C24" s="1354"/>
      <c r="D24" s="265"/>
      <c r="E24" s="264"/>
      <c r="F24" s="270"/>
      <c r="G24" s="271"/>
      <c r="H24" s="263"/>
      <c r="I24" s="590"/>
      <c r="J24" s="605"/>
      <c r="K24" s="601"/>
      <c r="L24" s="590"/>
      <c r="M24" s="590"/>
      <c r="N24" s="590"/>
      <c r="O24" s="590"/>
      <c r="P24" s="590"/>
    </row>
    <row r="25" spans="1:21" ht="24.95" customHeight="1">
      <c r="A25" s="951"/>
      <c r="B25" s="1335" t="s">
        <v>52</v>
      </c>
      <c r="C25" s="1349"/>
      <c r="D25" s="140"/>
      <c r="E25" s="100"/>
      <c r="F25" s="100"/>
      <c r="G25" s="570">
        <f>SUM(D25:F25)</f>
        <v>0</v>
      </c>
      <c r="H25" s="263"/>
      <c r="I25" s="590"/>
      <c r="J25" s="145" t="str">
        <f>IF(R25=1,Intake_missing,IF(S25=1,Only_intake_recorded,"OK"))</f>
        <v>OK</v>
      </c>
      <c r="K25" s="600" t="str">
        <f>IF(OR(T25=1,U25=1),Intake_inconsistent,"OK")</f>
        <v>OK</v>
      </c>
      <c r="L25" s="590"/>
      <c r="M25" s="590"/>
      <c r="N25" s="590"/>
      <c r="O25" s="590"/>
      <c r="P25" s="590"/>
      <c r="R25" s="1558">
        <f>IF(AND(C25=0,G25&gt;0),1,0)</f>
        <v>0</v>
      </c>
      <c r="S25" s="1558">
        <f>IF(AND(C25&gt;0,G25=0),1,0)</f>
        <v>0</v>
      </c>
      <c r="T25" s="1558">
        <f>IF(C25&gt;G25,1,0)</f>
        <v>0</v>
      </c>
      <c r="U25" s="1558">
        <f>IF(AND(SUM(E25:F25)&gt;0,C25=G25),1,0)</f>
        <v>0</v>
      </c>
    </row>
    <row r="26" spans="1:21" ht="24.95" customHeight="1">
      <c r="A26" s="951"/>
      <c r="B26" s="1335" t="s">
        <v>53</v>
      </c>
      <c r="C26" s="1350"/>
      <c r="D26" s="140"/>
      <c r="E26" s="100"/>
      <c r="F26" s="100"/>
      <c r="G26" s="570">
        <f>SUM(D26:F26)</f>
        <v>0</v>
      </c>
      <c r="H26" s="263"/>
      <c r="I26" s="590"/>
      <c r="J26" s="145" t="str">
        <f>IF(R26=1,Intake_missing,IF(S26=1,Only_intake_recorded,"OK"))</f>
        <v>OK</v>
      </c>
      <c r="K26" s="600" t="str">
        <f>IF(OR(T26=1,U26=1),Intake_inconsistent,"OK")</f>
        <v>OK</v>
      </c>
      <c r="L26" s="590"/>
      <c r="M26" s="590"/>
      <c r="N26" s="590"/>
      <c r="O26" s="590"/>
      <c r="P26" s="590"/>
    </row>
    <row r="27" spans="1:21" ht="24.95" customHeight="1">
      <c r="A27" s="951"/>
      <c r="B27" s="1335" t="s">
        <v>54</v>
      </c>
      <c r="C27" s="1351"/>
      <c r="D27" s="586"/>
      <c r="E27" s="266"/>
      <c r="F27" s="266"/>
      <c r="G27" s="571">
        <f>SUM(D27:F27)</f>
        <v>0</v>
      </c>
      <c r="H27" s="263"/>
      <c r="I27" s="590"/>
      <c r="J27" s="145" t="str">
        <f>IF(R27=1,Intake_missing,IF(S27=1,Only_intake_recorded,"OK"))</f>
        <v>OK</v>
      </c>
      <c r="K27" s="600" t="str">
        <f>IF(OR(T27=1,U27=1),Intake_inconsistent,"OK")</f>
        <v>OK</v>
      </c>
      <c r="L27" s="590"/>
      <c r="M27" s="590"/>
      <c r="N27" s="590"/>
      <c r="O27" s="590"/>
      <c r="P27" s="590"/>
      <c r="R27" s="1558">
        <f>IF(AND(C27=0,G27&gt;0),1,0)</f>
        <v>0</v>
      </c>
      <c r="S27" s="1558">
        <f>IF(AND(C27&gt;0,G27=0),1,0)</f>
        <v>0</v>
      </c>
      <c r="T27" s="1558">
        <f>IF(C27&gt;G27,1,0)</f>
        <v>0</v>
      </c>
      <c r="U27" s="1558">
        <f>IF(AND(SUM(E27:F27)&gt;0,C27=G27),1,0)</f>
        <v>0</v>
      </c>
    </row>
    <row r="28" spans="1:21" ht="24.95" customHeight="1">
      <c r="A28" s="951"/>
      <c r="B28" s="1336" t="s">
        <v>2</v>
      </c>
      <c r="C28" s="1352">
        <f>SUM(C25:C27)</f>
        <v>0</v>
      </c>
      <c r="D28" s="1342">
        <f>SUM(D25:D27)</f>
        <v>0</v>
      </c>
      <c r="E28" s="267">
        <f>SUM(E25:E27)</f>
        <v>0</v>
      </c>
      <c r="F28" s="267">
        <f>SUM(F25:F27)</f>
        <v>0</v>
      </c>
      <c r="G28" s="570">
        <f>SUM(D28:F28)</f>
        <v>0</v>
      </c>
      <c r="H28" s="263"/>
      <c r="I28" s="590"/>
      <c r="J28" s="602"/>
      <c r="K28" s="603"/>
      <c r="L28" s="590"/>
      <c r="M28" s="590"/>
      <c r="N28" s="590"/>
      <c r="O28" s="590"/>
      <c r="P28" s="590"/>
      <c r="R28" s="1558"/>
      <c r="S28" s="1558"/>
      <c r="T28" s="1558"/>
      <c r="U28" s="1558"/>
    </row>
    <row r="29" spans="1:21" ht="30" customHeight="1">
      <c r="A29" s="951"/>
      <c r="B29" s="1334" t="s">
        <v>57</v>
      </c>
      <c r="C29" s="1355"/>
      <c r="D29" s="269"/>
      <c r="E29" s="268"/>
      <c r="F29" s="272"/>
      <c r="G29" s="273"/>
      <c r="H29" s="263"/>
      <c r="I29" s="590"/>
      <c r="J29" s="605"/>
      <c r="K29" s="601"/>
      <c r="L29" s="590"/>
      <c r="M29" s="590"/>
      <c r="N29" s="590"/>
      <c r="O29" s="590"/>
      <c r="P29" s="590"/>
    </row>
    <row r="30" spans="1:21" ht="24.95" customHeight="1">
      <c r="A30" s="951"/>
      <c r="B30" s="1335" t="s">
        <v>52</v>
      </c>
      <c r="C30" s="1349"/>
      <c r="D30" s="140"/>
      <c r="E30" s="100"/>
      <c r="F30" s="100"/>
      <c r="G30" s="570">
        <f>SUM(D30:F30)</f>
        <v>0</v>
      </c>
      <c r="H30" s="263"/>
      <c r="I30" s="590"/>
      <c r="J30" s="145" t="str">
        <f>IF(R30=1,Intake_missing,IF(S30=1,Only_intake_recorded,"OK"))</f>
        <v>OK</v>
      </c>
      <c r="K30" s="600" t="str">
        <f>IF(OR(T30=1,U30=1),Intake_inconsistent,"OK")</f>
        <v>OK</v>
      </c>
      <c r="L30" s="590"/>
      <c r="M30" s="590"/>
      <c r="N30" s="590"/>
      <c r="O30" s="590"/>
      <c r="P30" s="590"/>
      <c r="R30" s="1558">
        <f>IF(AND(C30=0,G30&gt;0),1,0)</f>
        <v>0</v>
      </c>
      <c r="S30" s="1558">
        <f>IF(AND(C30&gt;0,G30=0),1,0)</f>
        <v>0</v>
      </c>
      <c r="T30" s="1558">
        <f>IF(C30&gt;G30,1,0)</f>
        <v>0</v>
      </c>
      <c r="U30" s="1558">
        <f>IF(AND(SUM(E30:F30)&gt;0,C30=G30),1,0)</f>
        <v>0</v>
      </c>
    </row>
    <row r="31" spans="1:21" ht="24.95" customHeight="1">
      <c r="A31" s="951"/>
      <c r="B31" s="1335" t="s">
        <v>53</v>
      </c>
      <c r="C31" s="1350"/>
      <c r="D31" s="140"/>
      <c r="E31" s="100"/>
      <c r="F31" s="100"/>
      <c r="G31" s="570">
        <f>SUM(D31:F31)</f>
        <v>0</v>
      </c>
      <c r="H31" s="263"/>
      <c r="I31" s="590"/>
      <c r="J31" s="145" t="str">
        <f>IF(R31=1,Intake_missing,IF(S31=1,Only_intake_recorded,"OK"))</f>
        <v>OK</v>
      </c>
      <c r="K31" s="600" t="str">
        <f>IF(OR(T31=1,U31=1),Intake_inconsistent,"OK")</f>
        <v>OK</v>
      </c>
      <c r="L31" s="590"/>
      <c r="M31" s="590"/>
      <c r="N31" s="590"/>
      <c r="O31" s="590"/>
      <c r="P31" s="590"/>
    </row>
    <row r="32" spans="1:21" ht="24.95" customHeight="1">
      <c r="A32" s="951"/>
      <c r="B32" s="1335" t="s">
        <v>54</v>
      </c>
      <c r="C32" s="1351"/>
      <c r="D32" s="586"/>
      <c r="E32" s="266"/>
      <c r="F32" s="266"/>
      <c r="G32" s="571">
        <f>SUM(D32:F32)</f>
        <v>0</v>
      </c>
      <c r="H32" s="263"/>
      <c r="I32" s="590"/>
      <c r="J32" s="145" t="str">
        <f>IF(R32=1,Intake_missing,IF(S32=1,Only_intake_recorded,"OK"))</f>
        <v>OK</v>
      </c>
      <c r="K32" s="600" t="str">
        <f>IF(OR(T32=1,U32=1),Intake_inconsistent,"OK")</f>
        <v>OK</v>
      </c>
      <c r="L32" s="590"/>
      <c r="M32" s="590"/>
      <c r="N32" s="590"/>
      <c r="O32" s="590"/>
      <c r="P32" s="590"/>
      <c r="R32" s="1558">
        <f>IF(AND(C32=0,G32&gt;0),1,0)</f>
        <v>0</v>
      </c>
      <c r="S32" s="1558">
        <f>IF(AND(C32&gt;0,G32=0),1,0)</f>
        <v>0</v>
      </c>
      <c r="T32" s="1558">
        <f>IF(C32&gt;G32,1,0)</f>
        <v>0</v>
      </c>
      <c r="U32" s="1558">
        <f>IF(AND(SUM(E32:F32)&gt;0,C32=G32),1,0)</f>
        <v>0</v>
      </c>
    </row>
    <row r="33" spans="1:21" ht="24.95" customHeight="1">
      <c r="A33" s="951"/>
      <c r="B33" s="1336" t="s">
        <v>2</v>
      </c>
      <c r="C33" s="1352">
        <f>SUM(C30:C32)</f>
        <v>0</v>
      </c>
      <c r="D33" s="1342">
        <f>SUM(D30:D32)</f>
        <v>0</v>
      </c>
      <c r="E33" s="267">
        <f>SUM(E30:E32)</f>
        <v>0</v>
      </c>
      <c r="F33" s="267">
        <f>SUM(F30:F32)</f>
        <v>0</v>
      </c>
      <c r="G33" s="570">
        <f>SUM(D33:F33)</f>
        <v>0</v>
      </c>
      <c r="H33" s="263"/>
      <c r="I33" s="590"/>
      <c r="J33" s="602"/>
      <c r="K33" s="603"/>
      <c r="L33" s="590"/>
      <c r="M33" s="590"/>
      <c r="N33" s="590"/>
      <c r="O33" s="590"/>
      <c r="P33" s="590"/>
      <c r="R33" s="1558"/>
      <c r="S33" s="1558"/>
      <c r="T33" s="1558"/>
      <c r="U33" s="1558"/>
    </row>
    <row r="34" spans="1:21" ht="30" customHeight="1">
      <c r="A34" s="951"/>
      <c r="B34" s="1334" t="s">
        <v>58</v>
      </c>
      <c r="C34" s="1355"/>
      <c r="D34" s="269"/>
      <c r="E34" s="268"/>
      <c r="F34" s="272"/>
      <c r="G34" s="273"/>
      <c r="H34" s="263"/>
      <c r="I34" s="590"/>
      <c r="J34" s="606"/>
      <c r="K34" s="607"/>
      <c r="L34" s="590"/>
      <c r="M34" s="930" t="s">
        <v>340</v>
      </c>
      <c r="N34" s="590"/>
      <c r="O34" s="590"/>
      <c r="P34" s="590"/>
    </row>
    <row r="35" spans="1:21" ht="24.95" customHeight="1" thickBot="1">
      <c r="A35" s="951"/>
      <c r="B35" s="1335" t="s">
        <v>52</v>
      </c>
      <c r="C35" s="1349"/>
      <c r="D35" s="140"/>
      <c r="E35" s="100"/>
      <c r="F35" s="100"/>
      <c r="G35" s="570">
        <f>SUM(D35:F35)</f>
        <v>0</v>
      </c>
      <c r="H35" s="263"/>
      <c r="I35" s="590"/>
      <c r="J35" s="145" t="str">
        <f>IF(R35=1,Intake_missing,IF(S35=1,Only_intake_recorded,"OK"))</f>
        <v>OK</v>
      </c>
      <c r="K35" s="600" t="str">
        <f>IF(OR(T35=1,U35=1),Intake_inconsistent,"OK")</f>
        <v>OK</v>
      </c>
      <c r="L35" s="590"/>
      <c r="M35" s="590"/>
      <c r="N35" s="590"/>
      <c r="O35" s="590"/>
      <c r="P35" s="590"/>
      <c r="R35" s="1558">
        <f>IF(AND(C35=0,G35&gt;0),1,0)</f>
        <v>0</v>
      </c>
      <c r="S35" s="1558">
        <f>IF(AND(C35&gt;0,G35=0),1,0)</f>
        <v>0</v>
      </c>
      <c r="T35" s="1558">
        <f>IF(C35&gt;G35,1,0)</f>
        <v>0</v>
      </c>
      <c r="U35" s="1558">
        <f>IF(AND(SUM(E35:F35)&gt;0,C35=G35),1,0)</f>
        <v>0</v>
      </c>
    </row>
    <row r="36" spans="1:21" ht="24.95" customHeight="1">
      <c r="A36" s="951"/>
      <c r="B36" s="1335" t="s">
        <v>53</v>
      </c>
      <c r="C36" s="1350"/>
      <c r="D36" s="140"/>
      <c r="E36" s="100"/>
      <c r="F36" s="100"/>
      <c r="G36" s="570">
        <f>SUM(D36:F36)</f>
        <v>0</v>
      </c>
      <c r="H36" s="263"/>
      <c r="I36" s="263"/>
      <c r="J36" s="145" t="str">
        <f>IF(R36=1,Intake_missing,IF(S36=1,Only_intake_recorded,"OK"))</f>
        <v>OK</v>
      </c>
      <c r="K36" s="600" t="str">
        <f>IF(OR(T36=1,U36=1),Intake_inconsistent,"OK")</f>
        <v>OK</v>
      </c>
      <c r="L36" s="263"/>
      <c r="M36" s="613" t="s">
        <v>80</v>
      </c>
      <c r="N36" s="1662" t="s">
        <v>294</v>
      </c>
      <c r="O36" s="614" t="s">
        <v>99</v>
      </c>
      <c r="P36" s="569"/>
      <c r="R36" s="1576"/>
      <c r="S36" s="1577"/>
    </row>
    <row r="37" spans="1:21" ht="24.95" customHeight="1">
      <c r="A37" s="951"/>
      <c r="B37" s="1336" t="s">
        <v>2</v>
      </c>
      <c r="C37" s="1352">
        <f>SUM(C35:C36)</f>
        <v>0</v>
      </c>
      <c r="D37" s="1342">
        <f>SUM(D35:D36)</f>
        <v>0</v>
      </c>
      <c r="E37" s="267">
        <f>SUM(E35:E36)</f>
        <v>0</v>
      </c>
      <c r="F37" s="267">
        <f>SUM(F35:F36)</f>
        <v>0</v>
      </c>
      <c r="G37" s="570">
        <f>SUM(D37:F37)</f>
        <v>0</v>
      </c>
      <c r="H37" s="263"/>
      <c r="I37" s="590"/>
      <c r="J37" s="596"/>
      <c r="K37" s="608"/>
      <c r="L37" s="590"/>
      <c r="M37" s="592"/>
      <c r="N37" s="1727"/>
      <c r="O37" s="615"/>
      <c r="P37" s="569"/>
      <c r="R37" s="1576"/>
      <c r="S37" s="1577"/>
    </row>
    <row r="38" spans="1:21" ht="35.1" customHeight="1" thickBot="1">
      <c r="A38" s="951"/>
      <c r="B38" s="1337" t="s">
        <v>307</v>
      </c>
      <c r="C38" s="1356">
        <f>SUM(C18,C23,C28,C33,C37)</f>
        <v>0</v>
      </c>
      <c r="D38" s="1343">
        <f>SUM(D18,D23,D28,D33,D37)</f>
        <v>0</v>
      </c>
      <c r="E38" s="275">
        <f>SUM(E18,E23,E28,E33,E37)</f>
        <v>0</v>
      </c>
      <c r="F38" s="275">
        <f>SUM(F18,F23,F28,F33,F37)</f>
        <v>0</v>
      </c>
      <c r="G38" s="572">
        <f>SUM(D38:F38)</f>
        <v>0</v>
      </c>
      <c r="H38" s="276"/>
      <c r="I38" s="734"/>
      <c r="J38" s="609"/>
      <c r="K38" s="610"/>
      <c r="L38" s="734"/>
      <c r="M38" s="755">
        <f>'Table 1 (Main)'!$O$39</f>
        <v>0</v>
      </c>
      <c r="N38" s="756">
        <f>G38-M38</f>
        <v>0</v>
      </c>
      <c r="O38" s="616" t="str">
        <f>IF(ABS(N38)&gt;0.1,"Does not equal figure in Table 1","OK")</f>
        <v>OK</v>
      </c>
      <c r="P38" s="591"/>
      <c r="R38" s="1569"/>
      <c r="S38" s="1577"/>
    </row>
    <row r="39" spans="1:21" ht="35.1" customHeight="1">
      <c r="A39" s="951"/>
      <c r="B39" s="1338" t="s">
        <v>23</v>
      </c>
      <c r="C39" s="1357"/>
      <c r="D39" s="1344"/>
      <c r="E39" s="578"/>
      <c r="F39" s="578"/>
      <c r="G39" s="577"/>
      <c r="H39" s="251"/>
      <c r="I39" s="250"/>
      <c r="J39" s="598"/>
      <c r="K39" s="611"/>
      <c r="L39" s="250"/>
      <c r="M39" s="250"/>
      <c r="N39" s="250"/>
      <c r="O39" s="250"/>
      <c r="P39" s="250"/>
    </row>
    <row r="40" spans="1:21" ht="24.95" customHeight="1">
      <c r="A40" s="951"/>
      <c r="B40" s="1339" t="s">
        <v>51</v>
      </c>
      <c r="C40" s="1349"/>
      <c r="D40" s="1004"/>
      <c r="E40" s="100"/>
      <c r="F40" s="100"/>
      <c r="G40" s="262">
        <f t="shared" ref="G40:G46" si="0">SUM(D40:F40)</f>
        <v>0</v>
      </c>
      <c r="H40" s="587"/>
      <c r="I40" s="575"/>
      <c r="J40" s="145" t="str">
        <f>IF(R40=1,Intake_missing,IF(S40=1,Only_intake_recorded,"OK"))</f>
        <v>OK</v>
      </c>
      <c r="K40" s="600" t="str">
        <f>IF(OR(T40=1,U40=1),Intake_inconsistent,"OK")</f>
        <v>OK</v>
      </c>
      <c r="L40" s="575"/>
      <c r="M40" s="575"/>
      <c r="N40" s="575"/>
      <c r="O40" s="575"/>
      <c r="P40" s="575"/>
      <c r="R40" s="1558">
        <f>IF(AND(C40=0,G40&gt;0),1,0)</f>
        <v>0</v>
      </c>
      <c r="S40" s="1558">
        <f>IF(AND(C40&gt;0,G40=0),1,0)</f>
        <v>0</v>
      </c>
      <c r="T40" s="1558">
        <f>IF(C40&gt;G40,1,0)</f>
        <v>0</v>
      </c>
      <c r="U40" s="1558">
        <f>IF(AND(SUM(E40:F40)&gt;0,C40=G40),1,0)</f>
        <v>0</v>
      </c>
    </row>
    <row r="41" spans="1:21" ht="24.95" customHeight="1">
      <c r="A41" s="951"/>
      <c r="B41" s="1339" t="s">
        <v>55</v>
      </c>
      <c r="C41" s="1349"/>
      <c r="D41" s="1004"/>
      <c r="E41" s="100"/>
      <c r="F41" s="100"/>
      <c r="G41" s="262">
        <f t="shared" si="0"/>
        <v>0</v>
      </c>
      <c r="H41" s="587"/>
      <c r="I41" s="575"/>
      <c r="J41" s="145" t="str">
        <f>IF(R41=1,Intake_missing,IF(S41=1,Only_intake_recorded,"OK"))</f>
        <v>OK</v>
      </c>
      <c r="K41" s="600" t="str">
        <f>IF(OR(T41=1,U41=1),Intake_inconsistent,"OK")</f>
        <v>OK</v>
      </c>
      <c r="L41" s="575"/>
      <c r="M41" s="930" t="s">
        <v>340</v>
      </c>
      <c r="N41" s="575"/>
      <c r="O41" s="575"/>
      <c r="P41" s="575"/>
      <c r="R41" s="1558">
        <f>IF(AND(C41=0,G41&gt;0),1,0)</f>
        <v>0</v>
      </c>
      <c r="S41" s="1558">
        <f>IF(AND(C41&gt;0,G41=0),1,0)</f>
        <v>0</v>
      </c>
      <c r="T41" s="1558">
        <f>IF(C41&gt;G41,1,0)</f>
        <v>0</v>
      </c>
      <c r="U41" s="1558">
        <f>IF(AND(SUM(E41:F41)&gt;0,C41=G41),1,0)</f>
        <v>0</v>
      </c>
    </row>
    <row r="42" spans="1:21" ht="24.95" customHeight="1" thickBot="1">
      <c r="A42" s="951"/>
      <c r="B42" s="1339" t="s">
        <v>56</v>
      </c>
      <c r="C42" s="1349"/>
      <c r="D42" s="1004"/>
      <c r="E42" s="100"/>
      <c r="F42" s="100"/>
      <c r="G42" s="262">
        <f t="shared" si="0"/>
        <v>0</v>
      </c>
      <c r="H42" s="587"/>
      <c r="I42" s="575"/>
      <c r="J42" s="145" t="str">
        <f>IF(R42=1,Intake_missing,IF(S42=1,Only_intake_recorded,"OK"))</f>
        <v>OK</v>
      </c>
      <c r="K42" s="600" t="str">
        <f>IF(OR(T42=1,U42=1),Intake_inconsistent,"OK")</f>
        <v>OK</v>
      </c>
      <c r="L42" s="575"/>
      <c r="M42" s="575"/>
      <c r="N42" s="575"/>
      <c r="O42" s="575"/>
      <c r="P42" s="575"/>
      <c r="R42" s="1558">
        <f>IF(AND(C42=0,G42&gt;0),1,0)</f>
        <v>0</v>
      </c>
      <c r="S42" s="1558">
        <f>IF(AND(C42&gt;0,G42=0),1,0)</f>
        <v>0</v>
      </c>
      <c r="T42" s="1558">
        <f>IF(C42&gt;G42,1,0)</f>
        <v>0</v>
      </c>
      <c r="U42" s="1558">
        <f>IF(AND(SUM(E42:F42)&gt;0,C42=G42),1,0)</f>
        <v>0</v>
      </c>
    </row>
    <row r="43" spans="1:21" ht="24.95" customHeight="1">
      <c r="A43" s="951"/>
      <c r="B43" s="1339" t="s">
        <v>57</v>
      </c>
      <c r="C43" s="1349"/>
      <c r="D43" s="1004"/>
      <c r="E43" s="100"/>
      <c r="F43" s="100"/>
      <c r="G43" s="262">
        <f t="shared" si="0"/>
        <v>0</v>
      </c>
      <c r="H43" s="587"/>
      <c r="I43" s="735"/>
      <c r="J43" s="145" t="str">
        <f>IF(R43=1,Intake_missing,IF(S43=1,Only_intake_recorded,"OK"))</f>
        <v>OK</v>
      </c>
      <c r="K43" s="600" t="str">
        <f>IF(OR(T43=1,U43=1),Intake_inconsistent,"OK")</f>
        <v>OK</v>
      </c>
      <c r="L43" s="735"/>
      <c r="M43" s="613" t="s">
        <v>80</v>
      </c>
      <c r="N43" s="1662" t="s">
        <v>294</v>
      </c>
      <c r="O43" s="614" t="s">
        <v>99</v>
      </c>
      <c r="P43" s="575"/>
      <c r="R43" s="1558">
        <f>IF(AND(C43=0,G43&gt;0),1,0)</f>
        <v>0</v>
      </c>
      <c r="S43" s="1558">
        <f>IF(AND(C43&gt;0,G43=0),1,0)</f>
        <v>0</v>
      </c>
      <c r="T43" s="1558">
        <f>IF(C43&gt;G43,1,0)</f>
        <v>0</v>
      </c>
      <c r="U43" s="1558">
        <f>IF(AND(SUM(E43:F43)&gt;0,C43=G43),1,0)</f>
        <v>0</v>
      </c>
    </row>
    <row r="44" spans="1:21" ht="24.95" customHeight="1" thickBot="1">
      <c r="A44" s="951"/>
      <c r="B44" s="1339" t="s">
        <v>58</v>
      </c>
      <c r="C44" s="1349"/>
      <c r="D44" s="1004"/>
      <c r="E44" s="100"/>
      <c r="F44" s="100"/>
      <c r="G44" s="262">
        <f t="shared" si="0"/>
        <v>0</v>
      </c>
      <c r="H44" s="588"/>
      <c r="I44" s="576"/>
      <c r="J44" s="158" t="str">
        <f>IF(R44=1,Intake_missing,IF(S44=1,Only_intake_recorded,"OK"))</f>
        <v>OK</v>
      </c>
      <c r="K44" s="612" t="str">
        <f>IF(OR(T44=1,U44=1),Intake_inconsistent,"OK")</f>
        <v>OK</v>
      </c>
      <c r="L44" s="576"/>
      <c r="M44" s="592"/>
      <c r="N44" s="1727"/>
      <c r="O44" s="615"/>
      <c r="P44" s="576"/>
      <c r="R44" s="1558">
        <f>IF(AND(C44=0,G44&gt;0),1,0)</f>
        <v>0</v>
      </c>
      <c r="S44" s="1558">
        <f>IF(AND(C44&gt;0,G44=0),1,0)</f>
        <v>0</v>
      </c>
      <c r="T44" s="1558">
        <f>IF(C44&gt;G44,1,0)</f>
        <v>0</v>
      </c>
      <c r="U44" s="1558">
        <f>IF(AND(SUM(E44:F44)&gt;0,C44=G44),1,0)</f>
        <v>0</v>
      </c>
    </row>
    <row r="45" spans="1:21" ht="35.1" customHeight="1" thickBot="1">
      <c r="A45" s="951"/>
      <c r="B45" s="1340" t="s">
        <v>2</v>
      </c>
      <c r="C45" s="1358">
        <f>SUM(C40:C44)</f>
        <v>0</v>
      </c>
      <c r="D45" s="1345">
        <f>SUM(D40:D44)</f>
        <v>0</v>
      </c>
      <c r="E45" s="579">
        <f>SUM(E40:E44)</f>
        <v>0</v>
      </c>
      <c r="F45" s="579">
        <f>SUM(F40:F44)</f>
        <v>0</v>
      </c>
      <c r="G45" s="583">
        <f t="shared" si="0"/>
        <v>0</v>
      </c>
      <c r="H45" s="588"/>
      <c r="I45" s="576"/>
      <c r="J45" s="580"/>
      <c r="K45" s="580"/>
      <c r="L45" s="576"/>
      <c r="M45" s="755">
        <f>'Table 1 (Main)'!$O$16</f>
        <v>0</v>
      </c>
      <c r="N45" s="756">
        <f>G45-M45</f>
        <v>0</v>
      </c>
      <c r="O45" s="616" t="str">
        <f>IF(ABS(N45)&gt;0.1,"Does not equal figure in Table 1","OK")</f>
        <v>OK</v>
      </c>
      <c r="P45" s="576"/>
      <c r="R45" s="1561"/>
      <c r="S45" s="1561"/>
      <c r="T45" s="1561"/>
      <c r="U45" s="1561"/>
    </row>
    <row r="46" spans="1:21" ht="35.1" customHeight="1" thickBot="1">
      <c r="A46" s="951"/>
      <c r="B46" s="1341" t="s">
        <v>2</v>
      </c>
      <c r="C46" s="1359">
        <f>SUM(C38,C45)</f>
        <v>0</v>
      </c>
      <c r="D46" s="1346">
        <f>SUM(D38,D45)</f>
        <v>0</v>
      </c>
      <c r="E46" s="584">
        <f t="shared" ref="E46:F46" si="1">SUM(E38,E45)</f>
        <v>0</v>
      </c>
      <c r="F46" s="584">
        <f t="shared" si="1"/>
        <v>0</v>
      </c>
      <c r="G46" s="585">
        <f t="shared" si="0"/>
        <v>0</v>
      </c>
      <c r="H46" s="588"/>
      <c r="I46" s="576"/>
      <c r="J46" s="580"/>
      <c r="K46" s="580"/>
      <c r="L46" s="576"/>
      <c r="M46" s="576"/>
      <c r="N46" s="576"/>
      <c r="O46" s="576"/>
      <c r="P46" s="576"/>
    </row>
    <row r="47" spans="1:21">
      <c r="A47" s="977"/>
      <c r="B47" s="974"/>
      <c r="C47" s="974"/>
      <c r="D47" s="974"/>
      <c r="E47" s="974"/>
      <c r="F47" s="974"/>
      <c r="G47" s="974"/>
      <c r="H47" s="976"/>
      <c r="I47" s="580"/>
      <c r="J47" s="580"/>
      <c r="K47" s="580"/>
      <c r="L47" s="580"/>
      <c r="M47" s="580"/>
      <c r="N47" s="580"/>
      <c r="O47" s="580"/>
      <c r="P47" s="580"/>
    </row>
  </sheetData>
  <sheetProtection password="E23E" sheet="1" objects="1" scenarios="1"/>
  <mergeCells count="9">
    <mergeCell ref="N36:N37"/>
    <mergeCell ref="N43:N44"/>
    <mergeCell ref="R2:R8"/>
    <mergeCell ref="S2:S8"/>
    <mergeCell ref="T2:T8"/>
    <mergeCell ref="U2:U8"/>
    <mergeCell ref="C4:E4"/>
    <mergeCell ref="C8:C9"/>
    <mergeCell ref="D8:G8"/>
  </mergeCells>
  <conditionalFormatting sqref="J15:K15 J38:K38 J17:K18 J20:K20 J22:K23 J25:K25 J27:K28 J30:K30 J32:K33 J35:K35">
    <cfRule type="expression" dxfId="45" priority="10" stopIfTrue="1">
      <formula>#REF!=0</formula>
    </cfRule>
  </conditionalFormatting>
  <conditionalFormatting sqref="B2">
    <cfRule type="expression" dxfId="44" priority="9" stopIfTrue="1">
      <formula>#REF!=0</formula>
    </cfRule>
  </conditionalFormatting>
  <conditionalFormatting sqref="A1:P1">
    <cfRule type="expression" dxfId="43" priority="11" stopIfTrue="1">
      <formula>$F$4=0</formula>
    </cfRule>
  </conditionalFormatting>
  <conditionalFormatting sqref="C15:F17 C20:F22 C25:F27 C30:F32 C35:F36 C40:F44">
    <cfRule type="expression" dxfId="42" priority="12" stopIfTrue="1">
      <formula>$F$4=0</formula>
    </cfRule>
  </conditionalFormatting>
  <conditionalFormatting sqref="D45:G45">
    <cfRule type="expression" dxfId="41" priority="7" stopIfTrue="1">
      <formula>#REF!=0</formula>
    </cfRule>
  </conditionalFormatting>
  <conditionalFormatting sqref="C45">
    <cfRule type="expression" dxfId="40" priority="8" stopIfTrue="1">
      <formula>#REF!=0</formula>
    </cfRule>
  </conditionalFormatting>
  <conditionalFormatting sqref="J40:K44">
    <cfRule type="expression" dxfId="39" priority="6" stopIfTrue="1">
      <formula>#REF!=0</formula>
    </cfRule>
  </conditionalFormatting>
  <conditionalFormatting sqref="J16:K16">
    <cfRule type="expression" dxfId="38" priority="5" stopIfTrue="1">
      <formula>#REF!=0</formula>
    </cfRule>
  </conditionalFormatting>
  <conditionalFormatting sqref="J21:K21">
    <cfRule type="expression" dxfId="37" priority="4" stopIfTrue="1">
      <formula>#REF!=0</formula>
    </cfRule>
  </conditionalFormatting>
  <conditionalFormatting sqref="J26:K26">
    <cfRule type="expression" dxfId="36" priority="3" stopIfTrue="1">
      <formula>#REF!=0</formula>
    </cfRule>
  </conditionalFormatting>
  <conditionalFormatting sqref="J31:K31">
    <cfRule type="expression" dxfId="35" priority="2" stopIfTrue="1">
      <formula>#REF!=0</formula>
    </cfRule>
  </conditionalFormatting>
  <conditionalFormatting sqref="J36:K36">
    <cfRule type="expression" dxfId="34" priority="1" stopIfTrue="1">
      <formula>#REF!=0</formula>
    </cfRule>
  </conditionalFormatting>
  <dataValidations count="2">
    <dataValidation type="custom" allowBlank="1" showErrorMessage="1" errorTitle="Number less than 0" error="You are trying to enter a number which is less than 0, please re-enter a valid number." sqref="D25:F28 C35 C45:G45 C17:C18 D15:F18 C22:C23 D20:F23 C27:C28 C32:C33 C15 C20 C25 C30 D30:F33 D35:F37 C37">
      <formula1>C15&gt;=0</formula1>
    </dataValidation>
    <dataValidation type="custom" errorStyle="warning" operator="greaterThanOrEqual" allowBlank="1" showInputMessage="1" showErrorMessage="1" error="Entry must be positive or zero, and no more than one decimal place" sqref="G35:G44 G25:G28 G15:G18 G20:G23 G30:G33">
      <formula1>AND(NOT(G15&lt;0),INT(G15*10)=G15*10)</formula1>
    </dataValidation>
  </dataValidations>
  <pageMargins left="0.19685039370078741" right="0.19685039370078741" top="0.19685039370078741" bottom="0.19685039370078741" header="0" footer="0"/>
  <pageSetup paperSize="9" scale="6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80" zoomScaleNormal="80" workbookViewId="0"/>
  </sheetViews>
  <sheetFormatPr defaultRowHeight="15"/>
  <cols>
    <col min="1" max="1" width="2.7109375" style="1547" customWidth="1"/>
    <col min="2" max="2" width="24.7109375" style="1547" customWidth="1"/>
    <col min="3" max="3" width="16.7109375" style="1547" customWidth="1"/>
    <col min="4" max="4" width="22.28515625" style="1547" customWidth="1"/>
    <col min="5" max="5" width="25.42578125" style="1547" customWidth="1"/>
    <col min="6" max="6" width="4.7109375" style="1547" customWidth="1"/>
    <col min="7" max="8" width="12.7109375" style="1547" customWidth="1"/>
    <col min="9" max="9" width="20.7109375" style="1547" customWidth="1"/>
    <col min="10" max="10" width="40.42578125" style="1547" customWidth="1"/>
    <col min="11" max="11" width="4.7109375" style="1547" customWidth="1"/>
    <col min="12" max="16384" width="9.140625" style="1547"/>
  </cols>
  <sheetData>
    <row r="1" spans="1:11" ht="39.950000000000003" customHeight="1">
      <c r="A1" s="580"/>
      <c r="B1" s="630" t="str">
        <f>IF(E4=0,"Your Institution Does Not Complete This Table","")</f>
        <v/>
      </c>
      <c r="C1" s="60"/>
      <c r="D1" s="60"/>
      <c r="E1" s="60"/>
      <c r="F1" s="580"/>
      <c r="G1" s="580"/>
      <c r="H1" s="580"/>
      <c r="I1" s="580"/>
      <c r="J1" s="580"/>
      <c r="K1" s="580"/>
    </row>
    <row r="2" spans="1:11" ht="30" customHeight="1">
      <c r="A2" s="1099"/>
      <c r="B2" s="933" t="s">
        <v>331</v>
      </c>
      <c r="C2" s="63"/>
      <c r="D2" s="63"/>
      <c r="E2" s="218"/>
      <c r="F2" s="580"/>
      <c r="G2" s="580"/>
      <c r="H2" s="580"/>
      <c r="I2" s="580"/>
      <c r="J2" s="580"/>
      <c r="K2" s="580"/>
    </row>
    <row r="3" spans="1:11" ht="15" customHeight="1">
      <c r="A3" s="951"/>
      <c r="B3" s="208"/>
      <c r="C3" s="219"/>
      <c r="D3" s="219"/>
      <c r="E3" s="220"/>
      <c r="F3" s="580"/>
      <c r="G3" s="580"/>
      <c r="H3" s="580"/>
      <c r="I3" s="580"/>
      <c r="J3" s="580"/>
      <c r="K3" s="580"/>
    </row>
    <row r="4" spans="1:11" ht="35.1" customHeight="1">
      <c r="A4" s="951"/>
      <c r="B4" s="1125" t="s">
        <v>0</v>
      </c>
      <c r="C4" s="1667" t="str">
        <f>Background!$D$2</f>
        <v>Glasgow, University of</v>
      </c>
      <c r="D4" s="1687"/>
      <c r="E4" s="725">
        <f>VLOOKUP(Background!$C$2,Inst_Tables,9,FALSE)</f>
        <v>1</v>
      </c>
      <c r="F4" s="580"/>
      <c r="G4" s="580"/>
      <c r="H4" s="580"/>
      <c r="I4" s="580"/>
      <c r="J4" s="580"/>
      <c r="K4" s="580"/>
    </row>
    <row r="5" spans="1:11" ht="35.1" customHeight="1">
      <c r="A5" s="951"/>
      <c r="B5" s="1146" t="s">
        <v>433</v>
      </c>
      <c r="C5" s="223"/>
      <c r="D5" s="224"/>
      <c r="E5" s="225"/>
      <c r="F5" s="580"/>
      <c r="G5" s="580"/>
      <c r="H5" s="580"/>
      <c r="I5" s="580"/>
      <c r="J5" s="580"/>
      <c r="K5" s="580"/>
    </row>
    <row r="6" spans="1:11" ht="30" customHeight="1">
      <c r="A6" s="951"/>
      <c r="B6" s="1116" t="s">
        <v>453</v>
      </c>
      <c r="C6" s="223"/>
      <c r="D6" s="224"/>
      <c r="E6" s="225"/>
      <c r="F6" s="580"/>
      <c r="G6" s="580"/>
      <c r="H6" s="580"/>
      <c r="I6" s="580"/>
      <c r="J6" s="580"/>
      <c r="K6" s="580"/>
    </row>
    <row r="7" spans="1:11" ht="15" customHeight="1" thickBot="1">
      <c r="A7" s="951"/>
      <c r="B7" s="1116"/>
      <c r="C7" s="223"/>
      <c r="D7" s="224"/>
      <c r="E7" s="225"/>
      <c r="F7" s="580"/>
      <c r="G7" s="580"/>
      <c r="H7" s="580"/>
      <c r="I7" s="580"/>
      <c r="J7" s="580"/>
      <c r="K7" s="580"/>
    </row>
    <row r="8" spans="1:11" ht="60" customHeight="1">
      <c r="A8" s="951"/>
      <c r="B8" s="1127"/>
      <c r="C8" s="1371" t="s">
        <v>332</v>
      </c>
      <c r="D8" s="87"/>
      <c r="E8" s="95"/>
      <c r="F8" s="580"/>
      <c r="G8" s="580"/>
      <c r="H8" s="580"/>
      <c r="I8" s="580"/>
      <c r="J8" s="580"/>
      <c r="K8" s="580"/>
    </row>
    <row r="9" spans="1:11" ht="30" customHeight="1" thickBot="1">
      <c r="A9" s="951"/>
      <c r="B9" s="1736" t="s">
        <v>352</v>
      </c>
      <c r="C9" s="236" t="s">
        <v>32</v>
      </c>
      <c r="D9" s="87"/>
      <c r="E9" s="95"/>
      <c r="F9" s="580"/>
      <c r="G9" s="580"/>
      <c r="H9" s="580"/>
      <c r="I9" s="580"/>
      <c r="J9" s="580"/>
      <c r="K9" s="580"/>
    </row>
    <row r="10" spans="1:11" ht="30" customHeight="1">
      <c r="A10" s="951"/>
      <c r="B10" s="1736"/>
      <c r="C10" s="236" t="s">
        <v>47</v>
      </c>
      <c r="D10" s="87"/>
      <c r="E10" s="95"/>
      <c r="F10" s="580"/>
      <c r="G10" s="729" t="s">
        <v>80</v>
      </c>
      <c r="H10" s="1728" t="s">
        <v>294</v>
      </c>
      <c r="I10" s="730" t="s">
        <v>99</v>
      </c>
      <c r="J10" s="580"/>
      <c r="K10" s="580"/>
    </row>
    <row r="11" spans="1:11" ht="30" customHeight="1" thickBot="1">
      <c r="A11" s="951"/>
      <c r="B11" s="1131"/>
      <c r="C11" s="245" t="s">
        <v>4</v>
      </c>
      <c r="D11" s="87"/>
      <c r="E11" s="95"/>
      <c r="F11" s="580"/>
      <c r="G11" s="731"/>
      <c r="H11" s="1729"/>
      <c r="I11" s="732"/>
      <c r="J11" s="580"/>
      <c r="K11" s="580"/>
    </row>
    <row r="12" spans="1:11" ht="35.1" customHeight="1" thickBot="1">
      <c r="A12" s="951"/>
      <c r="B12" s="1120" t="s">
        <v>329</v>
      </c>
      <c r="C12" s="1372">
        <v>41</v>
      </c>
      <c r="D12" s="123"/>
      <c r="E12" s="78"/>
      <c r="F12" s="580"/>
      <c r="G12" s="753">
        <f>'Table 1 (Main)'!$O$40</f>
        <v>41</v>
      </c>
      <c r="H12" s="754">
        <f>C12-G12</f>
        <v>0</v>
      </c>
      <c r="I12" s="733" t="str">
        <f>IF(ABS(H12)&gt;0.1,"Does not equal figure in Table 1","OK")</f>
        <v>OK</v>
      </c>
      <c r="J12" s="580"/>
      <c r="K12" s="580"/>
    </row>
    <row r="13" spans="1:11" ht="35.1" customHeight="1">
      <c r="A13" s="951"/>
      <c r="B13" s="1332" t="s">
        <v>330</v>
      </c>
      <c r="C13" s="1373"/>
      <c r="D13" s="123"/>
      <c r="E13" s="78"/>
      <c r="F13" s="580"/>
      <c r="G13" s="580"/>
      <c r="H13" s="580"/>
      <c r="I13" s="580"/>
      <c r="J13" s="580"/>
      <c r="K13" s="580"/>
    </row>
    <row r="14" spans="1:11" ht="35.1" customHeight="1">
      <c r="A14" s="951"/>
      <c r="B14" s="1123">
        <v>1</v>
      </c>
      <c r="C14" s="1374">
        <v>42</v>
      </c>
      <c r="D14" s="123"/>
      <c r="E14" s="78"/>
      <c r="F14" s="580"/>
      <c r="G14" s="580"/>
      <c r="H14" s="580"/>
      <c r="I14" s="580"/>
      <c r="J14" s="580"/>
      <c r="K14" s="580"/>
    </row>
    <row r="15" spans="1:11" ht="35.1" customHeight="1">
      <c r="A15" s="951"/>
      <c r="B15" s="1123">
        <v>2</v>
      </c>
      <c r="C15" s="1374">
        <v>32</v>
      </c>
      <c r="D15" s="123"/>
      <c r="E15" s="78"/>
      <c r="F15" s="580"/>
      <c r="G15" s="580"/>
      <c r="H15" s="580"/>
      <c r="I15" s="580"/>
      <c r="J15" s="580"/>
      <c r="K15" s="580"/>
    </row>
    <row r="16" spans="1:11" ht="35.1" customHeight="1" thickBot="1">
      <c r="A16" s="951"/>
      <c r="B16" s="1123">
        <v>3</v>
      </c>
      <c r="C16" s="1374">
        <v>35</v>
      </c>
      <c r="D16" s="123"/>
      <c r="E16" s="78"/>
      <c r="F16" s="580"/>
      <c r="G16" s="580"/>
      <c r="H16" s="580"/>
      <c r="I16" s="580"/>
      <c r="J16" s="580"/>
      <c r="K16" s="580"/>
    </row>
    <row r="17" spans="1:11" ht="35.1" customHeight="1">
      <c r="A17" s="951"/>
      <c r="B17" s="1123">
        <v>4</v>
      </c>
      <c r="C17" s="1374">
        <v>17</v>
      </c>
      <c r="D17" s="123"/>
      <c r="E17" s="78"/>
      <c r="F17" s="580"/>
      <c r="G17" s="1730" t="s">
        <v>333</v>
      </c>
      <c r="H17" s="1731"/>
      <c r="I17" s="1732"/>
      <c r="J17" s="727" t="str">
        <f>IF(AND($C$18&gt;0,$C$12=0),Intake_missing,IF(AND($C$12&gt;0,$C$18=0),Only_intake_recorded,"OK"))</f>
        <v>OK</v>
      </c>
      <c r="K17" s="580"/>
    </row>
    <row r="18" spans="1:11" ht="35.1" customHeight="1" thickBot="1">
      <c r="A18" s="951"/>
      <c r="B18" s="1148" t="s">
        <v>2</v>
      </c>
      <c r="C18" s="1375">
        <f>SUM(C14:C17)</f>
        <v>126</v>
      </c>
      <c r="D18" s="123"/>
      <c r="E18" s="78"/>
      <c r="F18" s="580"/>
      <c r="G18" s="1733" t="s">
        <v>271</v>
      </c>
      <c r="H18" s="1734"/>
      <c r="I18" s="1735"/>
      <c r="J18" s="728" t="str">
        <f>IF(OR($C$12&gt;$C$18,AND($C$12=$C$18,SUM($C$15:$C$17)&gt;0)),Intake_inconsistent,"OK")</f>
        <v>OK</v>
      </c>
      <c r="K18" s="580"/>
    </row>
    <row r="19" spans="1:11" ht="24.95" customHeight="1">
      <c r="A19" s="977"/>
      <c r="B19" s="229"/>
      <c r="C19" s="229"/>
      <c r="D19" s="230"/>
      <c r="E19" s="231"/>
      <c r="F19" s="580"/>
      <c r="G19" s="580"/>
      <c r="H19" s="580"/>
      <c r="I19" s="580"/>
      <c r="J19" s="580"/>
      <c r="K19" s="580"/>
    </row>
    <row r="20" spans="1:11" s="1561" customFormat="1" ht="12" customHeight="1">
      <c r="B20" s="1562"/>
    </row>
    <row r="21" spans="1:11">
      <c r="D21" s="1560"/>
      <c r="E21" s="1560"/>
      <c r="F21" s="1560"/>
      <c r="G21" s="1560"/>
      <c r="H21" s="1560"/>
    </row>
    <row r="22" spans="1:11">
      <c r="D22" s="1560"/>
      <c r="E22" s="1560"/>
      <c r="F22" s="1560"/>
    </row>
    <row r="23" spans="1:11">
      <c r="D23" s="1560"/>
      <c r="E23" s="1560"/>
      <c r="F23" s="1560"/>
    </row>
    <row r="28" spans="1:11" ht="12.75" customHeight="1"/>
  </sheetData>
  <sheetProtection password="E23E" sheet="1" objects="1" scenarios="1"/>
  <mergeCells count="5">
    <mergeCell ref="C4:D4"/>
    <mergeCell ref="H10:H11"/>
    <mergeCell ref="G17:I17"/>
    <mergeCell ref="G18:I18"/>
    <mergeCell ref="B9:B10"/>
  </mergeCells>
  <conditionalFormatting sqref="B2">
    <cfRule type="expression" dxfId="33" priority="4" stopIfTrue="1">
      <formula>#REF!=0</formula>
    </cfRule>
  </conditionalFormatting>
  <conditionalFormatting sqref="A1:E1">
    <cfRule type="expression" dxfId="32" priority="92" stopIfTrue="1">
      <formula>$E$4=0</formula>
    </cfRule>
  </conditionalFormatting>
  <conditionalFormatting sqref="C12">
    <cfRule type="expression" dxfId="31" priority="94" stopIfTrue="1">
      <formula>$E$4=0</formula>
    </cfRule>
  </conditionalFormatting>
  <conditionalFormatting sqref="J17">
    <cfRule type="expression" dxfId="30" priority="3" stopIfTrue="1">
      <formula>#REF!=0</formula>
    </cfRule>
  </conditionalFormatting>
  <conditionalFormatting sqref="J18">
    <cfRule type="expression" dxfId="29" priority="1" stopIfTrue="1">
      <formula>#REF!=0</formula>
    </cfRule>
  </conditionalFormatting>
  <dataValidations count="1">
    <dataValidation type="custom" allowBlank="1" showErrorMessage="1" errorTitle="Number less than 0" error="You are trying to enter a number which is less than 0, please re-enter a valid number." sqref="C12:C17">
      <formula1>C12&gt;=0</formula1>
    </dataValidation>
  </dataValidations>
  <printOptions horizontalCentered="1" verticalCentered="1"/>
  <pageMargins left="0.19685039370078741" right="0.19685039370078741" top="0.19685039370078741" bottom="0.23622047244094491" header="0.15748031496062992" footer="0.1574803149606299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Contents</vt:lpstr>
      <vt:lpstr>Table 1 (Main)</vt:lpstr>
      <vt:lpstr>Table 2a (ITE)</vt:lpstr>
      <vt:lpstr>Table 2b (TQFE)</vt:lpstr>
      <vt:lpstr>Table 2c (Catholic ITE)</vt:lpstr>
      <vt:lpstr>Table 2d PGDE Subjects</vt:lpstr>
      <vt:lpstr>Table 3 (Med, Dent)</vt:lpstr>
      <vt:lpstr>Table 4a (Cont Nre and Mid)</vt:lpstr>
      <vt:lpstr>Table 4b (Cont 4 Year Nurse)</vt:lpstr>
      <vt:lpstr>Table 5a (Widen Access FPs)</vt:lpstr>
      <vt:lpstr>Table 5b (Artic FPs)</vt:lpstr>
      <vt:lpstr>Table 5c (UG Skills FPs)</vt:lpstr>
      <vt:lpstr>Table 5d (TPG FPs)</vt:lpstr>
      <vt:lpstr>Table 5e (Other Add FPs)</vt:lpstr>
      <vt:lpstr>Monitoring</vt:lpstr>
      <vt:lpstr>Background</vt:lpstr>
      <vt:lpstr>Consol_Tol_FTE</vt:lpstr>
      <vt:lpstr>Consol_Tol_Per</vt:lpstr>
      <vt:lpstr>Controlled_Tol</vt:lpstr>
      <vt:lpstr>Early_Stats_Last_Year</vt:lpstr>
      <vt:lpstr>Final_Figures_Last_Year</vt:lpstr>
      <vt:lpstr>Inst_FPs</vt:lpstr>
      <vt:lpstr>Inst_Tables</vt:lpstr>
      <vt:lpstr>Intake_inconsistent</vt:lpstr>
      <vt:lpstr>Intake_missing</vt:lpstr>
      <vt:lpstr>'Table 2a (ITE)'!Intake_too_high</vt:lpstr>
      <vt:lpstr>Non_controlled_Tol</vt:lpstr>
      <vt:lpstr>Only_intake_recorded</vt:lpstr>
      <vt:lpstr>Background!Print_Area</vt:lpstr>
      <vt:lpstr>Contents!Print_Area</vt:lpstr>
      <vt:lpstr>Monitoring!Print_Area</vt:lpstr>
      <vt:lpstr>'Table 1 (Main)'!Print_Area</vt:lpstr>
      <vt:lpstr>'Table 2a (ITE)'!Print_Area</vt:lpstr>
      <vt:lpstr>'Table 2b (TQFE)'!Print_Area</vt:lpstr>
      <vt:lpstr>'Table 2c (Catholic ITE)'!Print_Area</vt:lpstr>
      <vt:lpstr>'Table 2d PGDE Subjects'!Print_Area</vt:lpstr>
      <vt:lpstr>'Table 3 (Med, Dent)'!Print_Area</vt:lpstr>
      <vt:lpstr>'Table 4a (Cont Nre and Mid)'!Print_Area</vt:lpstr>
      <vt:lpstr>'Table 4b (Cont 4 Year Nurse)'!Print_Area</vt:lpstr>
      <vt:lpstr>'Table 5a (Widen Access FPs)'!Print_Area</vt:lpstr>
      <vt:lpstr>'Table 5b (Artic FPs)'!Print_Area</vt:lpstr>
      <vt:lpstr>'Table 5c (UG Skills FPs)'!Print_Area</vt:lpstr>
      <vt:lpstr>'Table 5d (TPG FPs)'!Print_Area</vt:lpstr>
      <vt:lpstr>'Table 5e (Other Add FPs)'!Print_Area</vt:lpstr>
      <vt:lpstr>Background!Print_Titles</vt:lpstr>
      <vt:lpstr>Monitoring!Print_Titles</vt:lpstr>
      <vt:lpstr>'Table 1 (Main)'!Print_Titles</vt:lpstr>
      <vt:lpstr>'Table 5e (Other Add FPs)'!Print_Titles</vt:lpstr>
    </vt:vector>
  </TitlesOfParts>
  <Company>Scottish Funding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McCleary</dc:creator>
  <cp:lastModifiedBy>Jacqueline Jack</cp:lastModifiedBy>
  <cp:lastPrinted>2014-11-06T11:13:06Z</cp:lastPrinted>
  <dcterms:created xsi:type="dcterms:W3CDTF">2004-10-22T07:49:06Z</dcterms:created>
  <dcterms:modified xsi:type="dcterms:W3CDTF">2015-03-23T16:16:37Z</dcterms:modified>
</cp:coreProperties>
</file>