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240" windowWidth="15480" windowHeight="5820"/>
  </bookViews>
  <sheets>
    <sheet name="Table 1" sheetId="34" r:id="rId1"/>
    <sheet name="Table 2a" sheetId="39" r:id="rId2"/>
    <sheet name="Table 2b" sheetId="13" r:id="rId3"/>
    <sheet name="Table 2c" sheetId="14" r:id="rId4"/>
    <sheet name="Table 3" sheetId="15" r:id="rId5"/>
    <sheet name="Table 4" sheetId="30" r:id="rId6"/>
    <sheet name="Table 5" sheetId="40" r:id="rId7"/>
    <sheet name="Monitoring" sheetId="36" r:id="rId8"/>
    <sheet name="Background" sheetId="38" state="hidden" r:id="rId9"/>
  </sheets>
  <definedNames>
    <definedName name="Consol_Tol_FTE">Monitoring!$B$67</definedName>
    <definedName name="Consol_Tol_Per">Monitoring!$B$66</definedName>
    <definedName name="Controlled_Tol">Monitoring!$B$64</definedName>
    <definedName name="Early_Stats_1213">Background!$A$73:$AR$102</definedName>
    <definedName name="Final_Figures_1213">Background!$A$114:$AR$143</definedName>
    <definedName name="HTML_CodePage" hidden="1">1252</definedName>
    <definedName name="HTML_Control" hidden="1">{"'Page1'!$E$11:$AJ$51","'Page1'!$A$1"}</definedName>
    <definedName name="HTML_Description" hidden="1">""</definedName>
    <definedName name="HTML_Email" hidden="1">""</definedName>
    <definedName name="HTML_Header" hidden="1">"Page1"</definedName>
    <definedName name="HTML_LastUpdate" hidden="1">"07/10/1999"</definedName>
    <definedName name="HTML_LineAfter" hidden="1">TRUE</definedName>
    <definedName name="HTML_LineBefore" hidden="1">TRUE</definedName>
    <definedName name="HTML_Name" hidden="1">"ISU"</definedName>
    <definedName name="HTML_OBDlg2" hidden="1">TRUE</definedName>
    <definedName name="HTML_OBDlg4" hidden="1">TRUE</definedName>
    <definedName name="HTML_OS" hidden="1">0</definedName>
    <definedName name="HTML_PathFile" hidden="1">"c:\windows\desktop\MyHTML.htm"</definedName>
    <definedName name="HTML_Title" hidden="1">"CONVFACT"</definedName>
    <definedName name="Inst_FPs">Background!$A$14:$AZ$32</definedName>
    <definedName name="Inst_Tables">Background!$A$43:$O$62</definedName>
    <definedName name="Intake_inconsistent">'Table 2a'!$AC$11</definedName>
    <definedName name="Intake_missing">'Table 2a'!$AC$12</definedName>
    <definedName name="Intake_too_high" localSheetId="1">'Table 2a'!$AC$11</definedName>
    <definedName name="Non_controlled_Tol">Monitoring!$B$65</definedName>
    <definedName name="Only_intake_recorded">'Table 2a'!$AC$13</definedName>
    <definedName name="_xlnm.Print_Area" localSheetId="8">Background!$A$9:$AZ$33,Background!$A$41:$O$62,Background!$A$69:$BC$102</definedName>
    <definedName name="_xlnm.Print_Area" localSheetId="7">Monitoring!$A$1:$I$62</definedName>
    <definedName name="_xlnm.Print_Area" localSheetId="0">'Table 1'!$A$1:$AN$47</definedName>
    <definedName name="_xlnm.Print_Area" localSheetId="1">'Table 2a'!$A$2:$L$37</definedName>
    <definedName name="_xlnm.Print_Area" localSheetId="2">'Table 2b'!$A$2:$P$14</definedName>
    <definedName name="_xlnm.Print_Area" localSheetId="3">'Table 2c'!$A$2:$F$15</definedName>
    <definedName name="_xlnm.Print_Area" localSheetId="4">'Table 3'!$A$2:$P$34</definedName>
    <definedName name="_xlnm.Print_Area" localSheetId="5">'Table 4'!$A$2:$H$37</definedName>
    <definedName name="_xlnm.Print_Area" localSheetId="6">'Table 5'!$A$2:$E$130</definedName>
    <definedName name="_xlnm.Print_Titles" localSheetId="8">Background!$A:$B</definedName>
    <definedName name="_xlnm.Print_Titles" localSheetId="7">Monitoring!$1:$4</definedName>
    <definedName name="_xlnm.Print_Titles" localSheetId="0">'Table 1'!$A:$A</definedName>
    <definedName name="_xlnm.Print_Titles" localSheetId="6">'Table 5'!$2:$4</definedName>
  </definedNames>
  <calcPr calcId="145621"/>
</workbook>
</file>

<file path=xl/calcChain.xml><?xml version="1.0" encoding="utf-8"?>
<calcChain xmlns="http://schemas.openxmlformats.org/spreadsheetml/2006/main">
  <c r="D78" i="40" l="1"/>
  <c r="AR142" i="38" l="1"/>
  <c r="AQ142" i="38"/>
  <c r="AR125" i="38"/>
  <c r="AQ125" i="38"/>
  <c r="AR119" i="38"/>
  <c r="AQ119" i="38"/>
  <c r="AR143" i="38"/>
  <c r="AQ143" i="38"/>
  <c r="X142" i="38"/>
  <c r="W142" i="38"/>
  <c r="X125" i="38"/>
  <c r="W125" i="38"/>
  <c r="X119" i="38"/>
  <c r="W119" i="38"/>
  <c r="X143" i="38"/>
  <c r="W143" i="38"/>
  <c r="AI37" i="34" l="1"/>
  <c r="AL37" i="34" s="1"/>
  <c r="AH37" i="34"/>
  <c r="AI40" i="34"/>
  <c r="AH40" i="34"/>
  <c r="AI39" i="34"/>
  <c r="AH39" i="34"/>
  <c r="AI36" i="34"/>
  <c r="AL36" i="34" s="1"/>
  <c r="AH36" i="34"/>
  <c r="AI35" i="34"/>
  <c r="AL35" i="34" s="1"/>
  <c r="AH35" i="34"/>
  <c r="AI34" i="34"/>
  <c r="AL34" i="34" s="1"/>
  <c r="AH34" i="34"/>
  <c r="AI33" i="34"/>
  <c r="AH33" i="34"/>
  <c r="AI31" i="34"/>
  <c r="AL31" i="34" s="1"/>
  <c r="AH31" i="34"/>
  <c r="AI30" i="34"/>
  <c r="AL30" i="34" s="1"/>
  <c r="AH30" i="34"/>
  <c r="AI29" i="34"/>
  <c r="AL29" i="34" s="1"/>
  <c r="AH29" i="34"/>
  <c r="AI28" i="34"/>
  <c r="AL28" i="34" s="1"/>
  <c r="AH28" i="34"/>
  <c r="AH41" i="34" s="1"/>
  <c r="AI23" i="34"/>
  <c r="AH23" i="34"/>
  <c r="AI22" i="34"/>
  <c r="AH22" i="34"/>
  <c r="AI21" i="34"/>
  <c r="AL21" i="34" s="1"/>
  <c r="AH21" i="34"/>
  <c r="AH24" i="34" s="1"/>
  <c r="AI17" i="34"/>
  <c r="AH17" i="34"/>
  <c r="AI16" i="34"/>
  <c r="AL16" i="34" s="1"/>
  <c r="AH16" i="34"/>
  <c r="AI13" i="34"/>
  <c r="AH13" i="34"/>
  <c r="AN142" i="38"/>
  <c r="AM142" i="38"/>
  <c r="AN125" i="38"/>
  <c r="AM125" i="38"/>
  <c r="AN119" i="38"/>
  <c r="AM119" i="38"/>
  <c r="AN143" i="38"/>
  <c r="AM143" i="38"/>
  <c r="AL142" i="38"/>
  <c r="AK142" i="38"/>
  <c r="AL125" i="38"/>
  <c r="AK125" i="38"/>
  <c r="AL119" i="38"/>
  <c r="AK119" i="38"/>
  <c r="AL143" i="38"/>
  <c r="AK143" i="38"/>
  <c r="AJ142" i="38"/>
  <c r="AI142" i="38"/>
  <c r="AJ125" i="38"/>
  <c r="AI125" i="38"/>
  <c r="AJ119" i="38"/>
  <c r="AI119" i="38"/>
  <c r="AJ143" i="38"/>
  <c r="AI143" i="38"/>
  <c r="AH142" i="38"/>
  <c r="AG142" i="38"/>
  <c r="AH125" i="38"/>
  <c r="AG125" i="38"/>
  <c r="AH119" i="38"/>
  <c r="AG119" i="38"/>
  <c r="AH143" i="38"/>
  <c r="AG143" i="38"/>
  <c r="AF142" i="38"/>
  <c r="AE142" i="38"/>
  <c r="AF125" i="38"/>
  <c r="AE125" i="38"/>
  <c r="AF119" i="38"/>
  <c r="AE119" i="38"/>
  <c r="AF143" i="38"/>
  <c r="AE143" i="38"/>
  <c r="AD142" i="38"/>
  <c r="AC142" i="38"/>
  <c r="AD125" i="38"/>
  <c r="AC125" i="38"/>
  <c r="AD119" i="38"/>
  <c r="AC119" i="38"/>
  <c r="AD143" i="38"/>
  <c r="AC143" i="38"/>
  <c r="AB142" i="38"/>
  <c r="AA142" i="38"/>
  <c r="AB125" i="38"/>
  <c r="AA125" i="38"/>
  <c r="AB119" i="38"/>
  <c r="AA119" i="38"/>
  <c r="AB143" i="38"/>
  <c r="AA143" i="38"/>
  <c r="Z142" i="38"/>
  <c r="Y142" i="38"/>
  <c r="Z125" i="38"/>
  <c r="Y125" i="38"/>
  <c r="Z119" i="38"/>
  <c r="Y119" i="38"/>
  <c r="Z143" i="38"/>
  <c r="Y143" i="38"/>
  <c r="V142" i="38"/>
  <c r="U142" i="38"/>
  <c r="V125" i="38"/>
  <c r="U125" i="38"/>
  <c r="V119" i="38"/>
  <c r="U119" i="38"/>
  <c r="V143" i="38"/>
  <c r="U143" i="38"/>
  <c r="T142" i="38"/>
  <c r="S142" i="38"/>
  <c r="T125" i="38"/>
  <c r="S125" i="38"/>
  <c r="T119" i="38"/>
  <c r="S119" i="38"/>
  <c r="T143" i="38"/>
  <c r="S143" i="38"/>
  <c r="R142" i="38"/>
  <c r="Q142" i="38"/>
  <c r="R125" i="38"/>
  <c r="Q125" i="38"/>
  <c r="R119" i="38"/>
  <c r="Q119" i="38"/>
  <c r="R143" i="38"/>
  <c r="AI43" i="34" s="1"/>
  <c r="Q143" i="38"/>
  <c r="AH43" i="34" s="1"/>
  <c r="P142" i="38"/>
  <c r="O142" i="38"/>
  <c r="P125" i="38"/>
  <c r="O125" i="38"/>
  <c r="P119" i="38"/>
  <c r="O119" i="38"/>
  <c r="P143" i="38"/>
  <c r="O143" i="38"/>
  <c r="N142" i="38"/>
  <c r="M142" i="38"/>
  <c r="N125" i="38"/>
  <c r="M125" i="38"/>
  <c r="N119" i="38"/>
  <c r="M119" i="38"/>
  <c r="N143" i="38"/>
  <c r="M143" i="38"/>
  <c r="L142" i="38"/>
  <c r="K142" i="38"/>
  <c r="L125" i="38"/>
  <c r="K125" i="38"/>
  <c r="L119" i="38"/>
  <c r="K119" i="38"/>
  <c r="L143" i="38"/>
  <c r="K143" i="38"/>
  <c r="J142" i="38"/>
  <c r="I142" i="38"/>
  <c r="J125" i="38"/>
  <c r="I125" i="38"/>
  <c r="J119" i="38"/>
  <c r="I119" i="38"/>
  <c r="J143" i="38"/>
  <c r="I143" i="38"/>
  <c r="H142" i="38"/>
  <c r="G142" i="38"/>
  <c r="H125" i="38"/>
  <c r="G125" i="38"/>
  <c r="H119" i="38"/>
  <c r="G119" i="38"/>
  <c r="H143" i="38"/>
  <c r="G143" i="38"/>
  <c r="F142" i="38"/>
  <c r="E142" i="38"/>
  <c r="F125" i="38"/>
  <c r="E125" i="38"/>
  <c r="F119" i="38"/>
  <c r="E119" i="38"/>
  <c r="F143" i="38"/>
  <c r="E143" i="38"/>
  <c r="D142" i="38"/>
  <c r="D125" i="38"/>
  <c r="D119" i="38"/>
  <c r="D143" i="38"/>
  <c r="AP141" i="38"/>
  <c r="AO141" i="38"/>
  <c r="AP140" i="38"/>
  <c r="AO140" i="38"/>
  <c r="AP138" i="38"/>
  <c r="AO138" i="38"/>
  <c r="AP137" i="38"/>
  <c r="AO137" i="38"/>
  <c r="AP136" i="38"/>
  <c r="AO136" i="38"/>
  <c r="AP135" i="38"/>
  <c r="AO135" i="38"/>
  <c r="AP134" i="38"/>
  <c r="AO134" i="38"/>
  <c r="AP132" i="38"/>
  <c r="AO132" i="38"/>
  <c r="AP131" i="38"/>
  <c r="AO131" i="38"/>
  <c r="AP130" i="38"/>
  <c r="AO130" i="38"/>
  <c r="C142" i="38"/>
  <c r="AP124" i="38"/>
  <c r="AO124" i="38"/>
  <c r="AP123" i="38"/>
  <c r="AO123" i="38"/>
  <c r="C125" i="38"/>
  <c r="AP118" i="38"/>
  <c r="AO118" i="38"/>
  <c r="C119" i="38"/>
  <c r="AJ43" i="34" l="1"/>
  <c r="AK16" i="34"/>
  <c r="AH18" i="34"/>
  <c r="AH42" i="34" s="1"/>
  <c r="AJ17" i="34"/>
  <c r="AJ22" i="34"/>
  <c r="AJ23" i="34"/>
  <c r="AJ29" i="34"/>
  <c r="AJ30" i="34"/>
  <c r="AJ31" i="34"/>
  <c r="AJ33" i="34"/>
  <c r="AK34" i="34"/>
  <c r="AJ34" i="34"/>
  <c r="AM34" i="34" s="1"/>
  <c r="AK35" i="34"/>
  <c r="AJ35" i="34"/>
  <c r="AM35" i="34" s="1"/>
  <c r="AJ36" i="34"/>
  <c r="AJ39" i="34"/>
  <c r="AJ40" i="34"/>
  <c r="AK37" i="34"/>
  <c r="AJ37" i="34"/>
  <c r="AM37" i="34" s="1"/>
  <c r="AI18" i="34"/>
  <c r="AI24" i="34"/>
  <c r="AI41" i="34"/>
  <c r="AJ13" i="34"/>
  <c r="AJ16" i="34"/>
  <c r="AM16" i="34" s="1"/>
  <c r="AJ21" i="34"/>
  <c r="AJ28" i="34"/>
  <c r="C143" i="38"/>
  <c r="AO114" i="38"/>
  <c r="AO117" i="38"/>
  <c r="AO119" i="38" s="1"/>
  <c r="AP114" i="38"/>
  <c r="AP117" i="38"/>
  <c r="AP119" i="38" s="1"/>
  <c r="AO122" i="38"/>
  <c r="AO125" i="38" s="1"/>
  <c r="AO129" i="38"/>
  <c r="AO142" i="38" s="1"/>
  <c r="AP122" i="38"/>
  <c r="AP125" i="38" s="1"/>
  <c r="AP129" i="38"/>
  <c r="AP142" i="38" s="1"/>
  <c r="AJ24" i="34" l="1"/>
  <c r="AJ41" i="34"/>
  <c r="AJ18" i="34"/>
  <c r="AI42" i="34"/>
  <c r="AO143" i="38"/>
  <c r="AP143" i="38"/>
  <c r="AJ42" i="34" l="1"/>
  <c r="J30" i="30" l="1"/>
  <c r="I30" i="30"/>
  <c r="J28" i="30"/>
  <c r="I28" i="30"/>
  <c r="J25" i="30"/>
  <c r="I25" i="30"/>
  <c r="J23" i="30"/>
  <c r="I23" i="30"/>
  <c r="J20" i="30"/>
  <c r="I20" i="30"/>
  <c r="J18" i="30"/>
  <c r="I18" i="30"/>
  <c r="J15" i="30"/>
  <c r="I15" i="30"/>
  <c r="M32" i="39"/>
  <c r="K29" i="15" l="1"/>
  <c r="K30" i="15"/>
  <c r="K31" i="15"/>
  <c r="D32" i="15"/>
  <c r="C32" i="15"/>
  <c r="B32" i="15"/>
  <c r="E30" i="15"/>
  <c r="E31" i="15"/>
  <c r="E29" i="15"/>
  <c r="I32" i="15"/>
  <c r="H32" i="15"/>
  <c r="G32" i="15"/>
  <c r="F32" i="15"/>
  <c r="M32" i="15"/>
  <c r="B20" i="15"/>
  <c r="B21" i="15" s="1"/>
  <c r="H19" i="15"/>
  <c r="H18" i="15"/>
  <c r="H17" i="15"/>
  <c r="H15" i="15"/>
  <c r="H14" i="15"/>
  <c r="F20" i="15"/>
  <c r="G20" i="15"/>
  <c r="F21" i="15"/>
  <c r="G21" i="15"/>
  <c r="M19" i="15"/>
  <c r="M18" i="15"/>
  <c r="M17" i="15"/>
  <c r="M15" i="15"/>
  <c r="M14" i="15"/>
  <c r="E20" i="15"/>
  <c r="I20" i="15"/>
  <c r="I21" i="15" s="1"/>
  <c r="J20" i="15"/>
  <c r="J21" i="15" s="1"/>
  <c r="K20" i="15"/>
  <c r="K21" i="15" s="1"/>
  <c r="L20" i="15"/>
  <c r="L21" i="15" s="1"/>
  <c r="G13" i="30"/>
  <c r="F36" i="30"/>
  <c r="E36" i="30"/>
  <c r="D36" i="30"/>
  <c r="F35" i="30"/>
  <c r="F31" i="30"/>
  <c r="F26" i="30"/>
  <c r="F21" i="30"/>
  <c r="F16" i="30"/>
  <c r="E35" i="30"/>
  <c r="E31" i="30"/>
  <c r="E26" i="30"/>
  <c r="E21" i="30"/>
  <c r="E16" i="30"/>
  <c r="D35" i="30"/>
  <c r="D31" i="30"/>
  <c r="D26" i="30"/>
  <c r="D21" i="30"/>
  <c r="D16" i="30"/>
  <c r="C35" i="30"/>
  <c r="C31" i="30"/>
  <c r="C26" i="30"/>
  <c r="C21" i="30"/>
  <c r="C16" i="30"/>
  <c r="G16" i="30" s="1"/>
  <c r="B35" i="30"/>
  <c r="B31" i="30"/>
  <c r="B26" i="30"/>
  <c r="B21" i="30"/>
  <c r="B16" i="30"/>
  <c r="B36" i="30" s="1"/>
  <c r="N19" i="15" l="1"/>
  <c r="AL19" i="15"/>
  <c r="AJ19" i="15"/>
  <c r="AM19" i="15"/>
  <c r="AK19" i="15"/>
  <c r="M20" i="15"/>
  <c r="M21" i="15" s="1"/>
  <c r="AL18" i="15"/>
  <c r="AJ18" i="15"/>
  <c r="AM18" i="15"/>
  <c r="AK18" i="15"/>
  <c r="N18" i="15"/>
  <c r="N17" i="15"/>
  <c r="AL17" i="15"/>
  <c r="AJ17" i="15"/>
  <c r="AM17" i="15"/>
  <c r="AK17" i="15"/>
  <c r="AM31" i="15"/>
  <c r="AK31" i="15"/>
  <c r="W31" i="15" s="1"/>
  <c r="AL31" i="15"/>
  <c r="AL30" i="15"/>
  <c r="AM30" i="15"/>
  <c r="AK30" i="15"/>
  <c r="W30" i="15" s="1"/>
  <c r="AM29" i="15"/>
  <c r="AK29" i="15"/>
  <c r="W29" i="15" s="1"/>
  <c r="AL29" i="15"/>
  <c r="L31" i="15"/>
  <c r="AH31" i="15"/>
  <c r="AF31" i="15"/>
  <c r="AG31" i="15"/>
  <c r="AE31" i="15"/>
  <c r="L29" i="15"/>
  <c r="AH29" i="15"/>
  <c r="AF29" i="15"/>
  <c r="AG29" i="15"/>
  <c r="AE29" i="15"/>
  <c r="L30" i="15"/>
  <c r="AH30" i="15"/>
  <c r="AF30" i="15"/>
  <c r="AG30" i="15"/>
  <c r="AE30" i="15"/>
  <c r="R30" i="15" s="1"/>
  <c r="E32" i="15"/>
  <c r="AG19" i="15"/>
  <c r="AE19" i="15"/>
  <c r="AF19" i="15"/>
  <c r="AH19" i="15"/>
  <c r="AG18" i="15"/>
  <c r="AE18" i="15"/>
  <c r="AF18" i="15"/>
  <c r="AH18" i="15"/>
  <c r="AG17" i="15"/>
  <c r="AE17" i="15"/>
  <c r="AH17" i="15"/>
  <c r="AF17" i="15"/>
  <c r="H20" i="15"/>
  <c r="AF14" i="15"/>
  <c r="AH14" i="15"/>
  <c r="C36" i="30"/>
  <c r="N15" i="15"/>
  <c r="AM15" i="15"/>
  <c r="AK15" i="15"/>
  <c r="AL15" i="15"/>
  <c r="AJ15" i="15"/>
  <c r="W15" i="15" s="1"/>
  <c r="AH15" i="15"/>
  <c r="AF15" i="15"/>
  <c r="AG15" i="15"/>
  <c r="AE15" i="15"/>
  <c r="AM14" i="15"/>
  <c r="AL14" i="15"/>
  <c r="AK14" i="15"/>
  <c r="AJ14" i="15"/>
  <c r="N14" i="15"/>
  <c r="AG14" i="15"/>
  <c r="AE14" i="15"/>
  <c r="O13" i="13"/>
  <c r="N13" i="13"/>
  <c r="O12" i="13"/>
  <c r="N12" i="13"/>
  <c r="K35" i="39"/>
  <c r="K33" i="39"/>
  <c r="K32" i="39"/>
  <c r="D24" i="39"/>
  <c r="C24" i="39"/>
  <c r="O27" i="39" s="1"/>
  <c r="B24" i="39"/>
  <c r="O26" i="39" s="1"/>
  <c r="K23" i="39"/>
  <c r="K22" i="39"/>
  <c r="D17" i="39"/>
  <c r="C17" i="39"/>
  <c r="B17" i="39"/>
  <c r="K19" i="39"/>
  <c r="K16" i="39"/>
  <c r="K15" i="39"/>
  <c r="S15" i="39" s="1"/>
  <c r="B36" i="36"/>
  <c r="AK14" i="38"/>
  <c r="R31" i="15" l="1"/>
  <c r="R29" i="15"/>
  <c r="X15" i="15"/>
  <c r="X31" i="15"/>
  <c r="X29" i="15"/>
  <c r="N20" i="15"/>
  <c r="S31" i="15"/>
  <c r="S30" i="15"/>
  <c r="S29" i="15"/>
  <c r="R15" i="15"/>
  <c r="S15" i="15"/>
  <c r="R14" i="15"/>
  <c r="S14" i="15"/>
  <c r="X19" i="15"/>
  <c r="W19" i="15"/>
  <c r="W18" i="15"/>
  <c r="X18" i="15"/>
  <c r="X17" i="15"/>
  <c r="W17" i="15"/>
  <c r="W14" i="15"/>
  <c r="X14" i="15"/>
  <c r="R18" i="15"/>
  <c r="H21" i="15"/>
  <c r="N21" i="15" s="1"/>
  <c r="L32" i="15"/>
  <c r="X30" i="15"/>
  <c r="R19" i="15"/>
  <c r="R17" i="15"/>
  <c r="S19" i="15"/>
  <c r="S18" i="15"/>
  <c r="S17" i="15"/>
  <c r="B59" i="36"/>
  <c r="B57" i="36"/>
  <c r="B55" i="36"/>
  <c r="B54" i="36"/>
  <c r="B52" i="36"/>
  <c r="B50" i="36"/>
  <c r="C26" i="36"/>
  <c r="C24" i="36"/>
  <c r="C23" i="36"/>
  <c r="C15" i="36"/>
  <c r="C14" i="36"/>
  <c r="B17" i="40"/>
  <c r="F17" i="40" s="1"/>
  <c r="B16" i="40"/>
  <c r="F16" i="40" s="1"/>
  <c r="B15" i="40"/>
  <c r="F15" i="40" s="1"/>
  <c r="D133" i="40"/>
  <c r="AK15" i="38"/>
  <c r="AK16" i="38"/>
  <c r="AK17" i="38"/>
  <c r="AK18" i="38"/>
  <c r="AK19" i="38"/>
  <c r="AK20" i="38"/>
  <c r="AK21" i="38"/>
  <c r="AK22" i="38"/>
  <c r="AK23" i="38"/>
  <c r="AK24" i="38"/>
  <c r="AK25" i="38"/>
  <c r="AK26" i="38"/>
  <c r="AK27" i="38"/>
  <c r="AK28" i="38"/>
  <c r="AK29" i="38"/>
  <c r="AK30" i="38"/>
  <c r="AK31" i="38"/>
  <c r="AK32" i="38"/>
  <c r="AK33" i="38"/>
  <c r="AA43" i="34"/>
  <c r="AA40" i="34"/>
  <c r="AA39" i="34"/>
  <c r="AA37" i="34"/>
  <c r="AA36" i="34"/>
  <c r="AD36" i="34" s="1"/>
  <c r="AA35" i="34"/>
  <c r="AD35" i="34" s="1"/>
  <c r="AA34" i="34"/>
  <c r="AD34" i="34" s="1"/>
  <c r="AA33" i="34"/>
  <c r="AA31" i="34"/>
  <c r="AD31" i="34" s="1"/>
  <c r="AA30" i="34"/>
  <c r="AD30" i="34" s="1"/>
  <c r="AA29" i="34"/>
  <c r="AD29" i="34" s="1"/>
  <c r="AA28" i="34"/>
  <c r="AD28" i="34" s="1"/>
  <c r="AA23" i="34"/>
  <c r="AA22" i="34"/>
  <c r="AA21" i="34"/>
  <c r="AD21" i="34" s="1"/>
  <c r="AA17" i="34"/>
  <c r="AA16" i="34"/>
  <c r="AD16" i="34" s="1"/>
  <c r="AA13" i="34"/>
  <c r="Z43" i="34"/>
  <c r="Z40" i="34"/>
  <c r="Z39" i="34"/>
  <c r="Z37" i="34"/>
  <c r="Z36" i="34"/>
  <c r="Z35" i="34"/>
  <c r="AC35" i="34" s="1"/>
  <c r="Z34" i="34"/>
  <c r="AC34" i="34" s="1"/>
  <c r="Z33" i="34"/>
  <c r="Z31" i="34"/>
  <c r="Z30" i="34"/>
  <c r="Z29" i="34"/>
  <c r="Z28" i="34"/>
  <c r="Z23" i="34"/>
  <c r="Z22" i="34"/>
  <c r="Z21" i="34"/>
  <c r="Z17" i="34"/>
  <c r="Z16" i="34"/>
  <c r="AC16" i="34" s="1"/>
  <c r="Z13" i="34"/>
  <c r="AH33" i="38"/>
  <c r="AK34" i="38"/>
  <c r="D106" i="40"/>
  <c r="A106" i="40" s="1"/>
  <c r="D84" i="40"/>
  <c r="A84" i="40" s="1"/>
  <c r="D48" i="40"/>
  <c r="A48" i="40" s="1"/>
  <c r="D22" i="40"/>
  <c r="A22" i="40" s="1"/>
  <c r="D9" i="40"/>
  <c r="A9" i="40" s="1"/>
  <c r="H44" i="38"/>
  <c r="H45" i="38"/>
  <c r="H46" i="38"/>
  <c r="H47" i="38"/>
  <c r="H48" i="38"/>
  <c r="H49" i="38"/>
  <c r="H50" i="38"/>
  <c r="H51" i="38"/>
  <c r="H52" i="38"/>
  <c r="H53" i="38"/>
  <c r="H54" i="38"/>
  <c r="H55" i="38"/>
  <c r="H56" i="38"/>
  <c r="H57" i="38"/>
  <c r="H58" i="38"/>
  <c r="H59" i="38"/>
  <c r="H60" i="38"/>
  <c r="H61" i="38"/>
  <c r="H43" i="38"/>
  <c r="M44" i="38"/>
  <c r="M45" i="38"/>
  <c r="M46" i="38"/>
  <c r="M47" i="38"/>
  <c r="M48" i="38"/>
  <c r="M49" i="38"/>
  <c r="M50" i="38"/>
  <c r="M51" i="38"/>
  <c r="M52" i="38"/>
  <c r="M53" i="38"/>
  <c r="M54" i="38"/>
  <c r="M55" i="38"/>
  <c r="M56" i="38"/>
  <c r="M57" i="38"/>
  <c r="M58" i="38"/>
  <c r="M59" i="38"/>
  <c r="M60" i="38"/>
  <c r="M61" i="38"/>
  <c r="M62" i="38"/>
  <c r="M43" i="38"/>
  <c r="L44" i="38"/>
  <c r="L45" i="38"/>
  <c r="L46" i="38"/>
  <c r="L47" i="38"/>
  <c r="L48" i="38"/>
  <c r="L49" i="38"/>
  <c r="L50" i="38"/>
  <c r="L51" i="38"/>
  <c r="L52" i="38"/>
  <c r="L53" i="38"/>
  <c r="L54" i="38"/>
  <c r="L55" i="38"/>
  <c r="L56" i="38"/>
  <c r="L57" i="38"/>
  <c r="L58" i="38"/>
  <c r="L59" i="38"/>
  <c r="L60" i="38"/>
  <c r="L61" i="38"/>
  <c r="L62" i="38"/>
  <c r="L43" i="38"/>
  <c r="K44" i="38"/>
  <c r="K45" i="38"/>
  <c r="K46" i="38"/>
  <c r="K47" i="38"/>
  <c r="K48" i="38"/>
  <c r="K49" i="38"/>
  <c r="K50" i="38"/>
  <c r="K51" i="38"/>
  <c r="K52" i="38"/>
  <c r="K53" i="38"/>
  <c r="K54" i="38"/>
  <c r="K55" i="38"/>
  <c r="K56" i="38"/>
  <c r="K57" i="38"/>
  <c r="K58" i="38"/>
  <c r="K59" i="38"/>
  <c r="K60" i="38"/>
  <c r="K61" i="38"/>
  <c r="K62" i="38"/>
  <c r="K43" i="38"/>
  <c r="J44" i="38"/>
  <c r="J45" i="38"/>
  <c r="J46" i="38"/>
  <c r="J47" i="38"/>
  <c r="J48" i="38"/>
  <c r="J49" i="38"/>
  <c r="J50" i="38"/>
  <c r="J51" i="38"/>
  <c r="J52" i="38"/>
  <c r="J53" i="38"/>
  <c r="J54" i="38"/>
  <c r="J55" i="38"/>
  <c r="J56" i="38"/>
  <c r="J57" i="38"/>
  <c r="J58" i="38"/>
  <c r="J59" i="38"/>
  <c r="J60" i="38"/>
  <c r="J61" i="38"/>
  <c r="J62" i="38"/>
  <c r="J43" i="38"/>
  <c r="I44" i="38"/>
  <c r="I45" i="38"/>
  <c r="I46" i="38"/>
  <c r="I47" i="38"/>
  <c r="I48" i="38"/>
  <c r="I49" i="38"/>
  <c r="I50" i="38"/>
  <c r="I51" i="38"/>
  <c r="I52" i="38"/>
  <c r="I53" i="38"/>
  <c r="I54" i="38"/>
  <c r="I55" i="38"/>
  <c r="I56" i="38"/>
  <c r="I57" i="38"/>
  <c r="I58" i="38"/>
  <c r="I59" i="38"/>
  <c r="I60" i="38"/>
  <c r="I61" i="38"/>
  <c r="I62" i="38"/>
  <c r="H62" i="38" s="1"/>
  <c r="I43" i="38"/>
  <c r="D127" i="40"/>
  <c r="D101" i="40"/>
  <c r="D43" i="40"/>
  <c r="D79" i="40"/>
  <c r="B14" i="40"/>
  <c r="F14" i="40" s="1"/>
  <c r="AJ15" i="38"/>
  <c r="AJ16" i="38"/>
  <c r="AJ17" i="38"/>
  <c r="AJ18" i="38"/>
  <c r="AJ19" i="38"/>
  <c r="AJ20" i="38"/>
  <c r="AJ21" i="38"/>
  <c r="AJ22" i="38"/>
  <c r="AJ23" i="38"/>
  <c r="AJ24" i="38"/>
  <c r="AJ25" i="38"/>
  <c r="AJ26" i="38"/>
  <c r="AJ27" i="38"/>
  <c r="AJ28" i="38"/>
  <c r="AJ29" i="38"/>
  <c r="AJ30" i="38"/>
  <c r="AJ31" i="38"/>
  <c r="AJ32" i="38"/>
  <c r="AJ33" i="38"/>
  <c r="AJ14" i="38"/>
  <c r="AJ34" i="38" s="1"/>
  <c r="AI33" i="38"/>
  <c r="AI15" i="38"/>
  <c r="AI16" i="38"/>
  <c r="AI17" i="38"/>
  <c r="AI18" i="38"/>
  <c r="AI19" i="38"/>
  <c r="AI20" i="38"/>
  <c r="AI21" i="38"/>
  <c r="AI22" i="38"/>
  <c r="AI23" i="38"/>
  <c r="AI24" i="38"/>
  <c r="AI25" i="38"/>
  <c r="AI26" i="38"/>
  <c r="AI27" i="38"/>
  <c r="AI28" i="38"/>
  <c r="AI29" i="38"/>
  <c r="AI30" i="38"/>
  <c r="AI31" i="38"/>
  <c r="AI32" i="38"/>
  <c r="AI14" i="38"/>
  <c r="AH15" i="38"/>
  <c r="AH16" i="38"/>
  <c r="AH17" i="38"/>
  <c r="AH18" i="38"/>
  <c r="AH19" i="38"/>
  <c r="AH20" i="38"/>
  <c r="AH21" i="38"/>
  <c r="AH22" i="38"/>
  <c r="AH23" i="38"/>
  <c r="AH24" i="38"/>
  <c r="AH25" i="38"/>
  <c r="AH26" i="38"/>
  <c r="AH27" i="38"/>
  <c r="AH28" i="38"/>
  <c r="AH29" i="38"/>
  <c r="AH30" i="38"/>
  <c r="AH31" i="38"/>
  <c r="AH32" i="38"/>
  <c r="AH14" i="38"/>
  <c r="AH34" i="38" s="1"/>
  <c r="AG34" i="38"/>
  <c r="AI34" i="38"/>
  <c r="AG15" i="38"/>
  <c r="AG16" i="38"/>
  <c r="AG17" i="38"/>
  <c r="AG18" i="38"/>
  <c r="AG19" i="38"/>
  <c r="AG20" i="38"/>
  <c r="AG21" i="38"/>
  <c r="AG22" i="38"/>
  <c r="AG23" i="38"/>
  <c r="AG24" i="38"/>
  <c r="AG25" i="38"/>
  <c r="AG26" i="38"/>
  <c r="AG27" i="38"/>
  <c r="AG28" i="38"/>
  <c r="AG29" i="38"/>
  <c r="AG30" i="38"/>
  <c r="AG31" i="38"/>
  <c r="AG32" i="38"/>
  <c r="AG33" i="38"/>
  <c r="AG14" i="38"/>
  <c r="S34" i="38"/>
  <c r="B133" i="40" l="1"/>
  <c r="R34" i="38"/>
  <c r="Q34" i="38"/>
  <c r="P34" i="38"/>
  <c r="O20" i="15" l="1"/>
  <c r="E21" i="15"/>
  <c r="D20" i="15"/>
  <c r="D21" i="15" s="1"/>
  <c r="C20" i="15"/>
  <c r="C21" i="15" s="1"/>
  <c r="D90" i="40" l="1"/>
  <c r="D42" i="40"/>
  <c r="D44" i="40" s="1"/>
  <c r="D80" i="40"/>
  <c r="D99" i="40"/>
  <c r="D98" i="40"/>
  <c r="D97" i="40"/>
  <c r="D96" i="40"/>
  <c r="D95" i="40"/>
  <c r="D94" i="40"/>
  <c r="D93" i="40"/>
  <c r="D92" i="40"/>
  <c r="D91" i="40"/>
  <c r="D126" i="40"/>
  <c r="E4" i="40"/>
  <c r="A1" i="40" s="1"/>
  <c r="D17" i="40"/>
  <c r="D14" i="40"/>
  <c r="F127" i="40" l="1"/>
  <c r="D128" i="40"/>
  <c r="F79" i="40"/>
  <c r="F43" i="40"/>
  <c r="D100" i="40"/>
  <c r="D102" i="40" s="1"/>
  <c r="D15" i="40"/>
  <c r="D16" i="40"/>
  <c r="F101" i="40" l="1"/>
  <c r="B134" i="40" s="1"/>
  <c r="Y35" i="39"/>
  <c r="V35" i="39"/>
  <c r="S35" i="39"/>
  <c r="W35" i="39"/>
  <c r="W33" i="39"/>
  <c r="V33" i="39"/>
  <c r="U33" i="39"/>
  <c r="S33" i="39"/>
  <c r="M33" i="39" s="1"/>
  <c r="T33" i="39"/>
  <c r="W32" i="39"/>
  <c r="V32" i="39"/>
  <c r="U32" i="39"/>
  <c r="S32" i="39"/>
  <c r="T32" i="39"/>
  <c r="V31" i="39"/>
  <c r="K31" i="39"/>
  <c r="T31" i="39" s="1"/>
  <c r="G24" i="39"/>
  <c r="F24" i="39"/>
  <c r="Y23" i="39"/>
  <c r="V23" i="39"/>
  <c r="T23" i="39"/>
  <c r="Y22" i="39"/>
  <c r="W22" i="39"/>
  <c r="V22" i="39"/>
  <c r="U22" i="39"/>
  <c r="S22" i="39"/>
  <c r="T22" i="39"/>
  <c r="Y19" i="39"/>
  <c r="V19" i="39"/>
  <c r="T19" i="39"/>
  <c r="G17" i="39"/>
  <c r="F17" i="39"/>
  <c r="Y16" i="39"/>
  <c r="W16" i="39"/>
  <c r="V16" i="39"/>
  <c r="U16" i="39"/>
  <c r="S16" i="39"/>
  <c r="T16" i="39"/>
  <c r="Y15" i="39"/>
  <c r="V15" i="39"/>
  <c r="T15" i="39"/>
  <c r="G4" i="39"/>
  <c r="A1" i="39" s="1"/>
  <c r="K32" i="15"/>
  <c r="J32" i="15"/>
  <c r="O21" i="15"/>
  <c r="M22" i="39" l="1"/>
  <c r="M15" i="39"/>
  <c r="M16" i="39"/>
  <c r="S31" i="39"/>
  <c r="M31" i="39" s="1"/>
  <c r="U31" i="39"/>
  <c r="W31" i="39"/>
  <c r="X31" i="39" s="1"/>
  <c r="K24" i="39"/>
  <c r="K17" i="39"/>
  <c r="X33" i="39"/>
  <c r="N33" i="39" s="1"/>
  <c r="X32" i="39"/>
  <c r="N32" i="39" s="1"/>
  <c r="X22" i="39"/>
  <c r="N22" i="39" s="1"/>
  <c r="X16" i="39"/>
  <c r="N16" i="39" s="1"/>
  <c r="X35" i="39"/>
  <c r="U15" i="39"/>
  <c r="W15" i="39"/>
  <c r="X15" i="39" s="1"/>
  <c r="S19" i="39"/>
  <c r="M19" i="39" s="1"/>
  <c r="U19" i="39"/>
  <c r="W19" i="39"/>
  <c r="X19" i="39" s="1"/>
  <c r="S23" i="39"/>
  <c r="M23" i="39" s="1"/>
  <c r="U23" i="39"/>
  <c r="W23" i="39"/>
  <c r="X23" i="39" s="1"/>
  <c r="T35" i="39"/>
  <c r="M35" i="39" s="1"/>
  <c r="U35" i="39"/>
  <c r="N35" i="39" s="1"/>
  <c r="N31" i="39" l="1"/>
  <c r="N23" i="39"/>
  <c r="N19" i="39"/>
  <c r="N15" i="39"/>
  <c r="D16" i="34"/>
  <c r="D26" i="36" l="1"/>
  <c r="AQ15" i="38"/>
  <c r="AQ16" i="38"/>
  <c r="AQ17" i="38"/>
  <c r="AQ18" i="38"/>
  <c r="AQ19" i="38"/>
  <c r="AQ20" i="38"/>
  <c r="AQ21" i="38"/>
  <c r="AQ22" i="38"/>
  <c r="AQ23" i="38"/>
  <c r="AQ24" i="38"/>
  <c r="AQ25" i="38"/>
  <c r="AQ26" i="38"/>
  <c r="AQ27" i="38"/>
  <c r="AQ28" i="38"/>
  <c r="AQ29" i="38"/>
  <c r="AQ30" i="38"/>
  <c r="AQ31" i="38"/>
  <c r="AQ32" i="38"/>
  <c r="AQ14" i="38"/>
  <c r="C34" i="38"/>
  <c r="AN34" i="38"/>
  <c r="AU34" i="38"/>
  <c r="AQ34" i="38" l="1"/>
  <c r="M78" i="38"/>
  <c r="M101" i="38"/>
  <c r="M84" i="38"/>
  <c r="AO34" i="38"/>
  <c r="AP34" i="38"/>
  <c r="AS34" i="38"/>
  <c r="AT34" i="38"/>
  <c r="AV34" i="38"/>
  <c r="AW34" i="38"/>
  <c r="AX34" i="38"/>
  <c r="AY34" i="38"/>
  <c r="AZ34" i="38"/>
  <c r="AM34" i="38"/>
  <c r="AL34" i="38"/>
  <c r="Z34" i="38"/>
  <c r="AA34" i="38"/>
  <c r="AB34" i="38"/>
  <c r="AC34" i="38"/>
  <c r="AD34" i="38"/>
  <c r="T34" i="38"/>
  <c r="U34" i="38"/>
  <c r="V34" i="38"/>
  <c r="W34" i="38"/>
  <c r="X34" i="38"/>
  <c r="Y34" i="38"/>
  <c r="E34" i="38"/>
  <c r="F34" i="38"/>
  <c r="G34" i="38"/>
  <c r="H34" i="38"/>
  <c r="I34" i="38"/>
  <c r="J34" i="38"/>
  <c r="K34" i="38"/>
  <c r="L34" i="38"/>
  <c r="M34" i="38"/>
  <c r="D34" i="38"/>
  <c r="M102" i="38" l="1"/>
  <c r="AR101" i="38"/>
  <c r="AQ101" i="38"/>
  <c r="AR84" i="38"/>
  <c r="AQ84" i="38"/>
  <c r="AR78" i="38"/>
  <c r="AQ78" i="38"/>
  <c r="AN78" i="38"/>
  <c r="AL78" i="38"/>
  <c r="AM78" i="38"/>
  <c r="W78" i="38"/>
  <c r="T78" i="38"/>
  <c r="S78" i="38"/>
  <c r="R78" i="38"/>
  <c r="Q78" i="38"/>
  <c r="AN101" i="38"/>
  <c r="AM101" i="38"/>
  <c r="AN84" i="38"/>
  <c r="AM84" i="38"/>
  <c r="AL101" i="38"/>
  <c r="AK101" i="38"/>
  <c r="AL84" i="38"/>
  <c r="AK84" i="38"/>
  <c r="AJ101" i="38"/>
  <c r="AI101" i="38"/>
  <c r="AJ84" i="38"/>
  <c r="AI84" i="38"/>
  <c r="AJ78" i="38"/>
  <c r="AI78" i="38"/>
  <c r="AH101" i="38"/>
  <c r="AG101" i="38"/>
  <c r="AH84" i="38"/>
  <c r="AG84" i="38"/>
  <c r="AH78" i="38"/>
  <c r="AG78" i="38"/>
  <c r="AF101" i="38"/>
  <c r="AE101" i="38"/>
  <c r="AF84" i="38"/>
  <c r="AE84" i="38"/>
  <c r="AF78" i="38"/>
  <c r="AE78" i="38"/>
  <c r="AD101" i="38"/>
  <c r="AC101" i="38"/>
  <c r="AD84" i="38"/>
  <c r="AC84" i="38"/>
  <c r="AD78" i="38"/>
  <c r="AC78" i="38"/>
  <c r="AB101" i="38"/>
  <c r="AA101" i="38"/>
  <c r="AB84" i="38"/>
  <c r="AA84" i="38"/>
  <c r="AB78" i="38"/>
  <c r="AA78" i="38"/>
  <c r="Z101" i="38"/>
  <c r="Y101" i="38"/>
  <c r="Z84" i="38"/>
  <c r="Y84" i="38"/>
  <c r="Z78" i="38"/>
  <c r="Y78" i="38"/>
  <c r="X101" i="38"/>
  <c r="W101" i="38"/>
  <c r="X84" i="38"/>
  <c r="W84" i="38"/>
  <c r="V101" i="38"/>
  <c r="U101" i="38"/>
  <c r="V84" i="38"/>
  <c r="U84" i="38"/>
  <c r="T101" i="38"/>
  <c r="S101" i="38"/>
  <c r="T84" i="38"/>
  <c r="S84" i="38"/>
  <c r="R101" i="38"/>
  <c r="Q101" i="38"/>
  <c r="R84" i="38"/>
  <c r="Q84" i="38"/>
  <c r="P101" i="38"/>
  <c r="O101" i="38"/>
  <c r="P84" i="38"/>
  <c r="O84" i="38"/>
  <c r="L101" i="38"/>
  <c r="K101" i="38"/>
  <c r="L84" i="38"/>
  <c r="K84" i="38"/>
  <c r="L78" i="38"/>
  <c r="K78" i="38"/>
  <c r="J101" i="38"/>
  <c r="I101" i="38"/>
  <c r="J84" i="38"/>
  <c r="I84" i="38"/>
  <c r="J78" i="38"/>
  <c r="I78" i="38"/>
  <c r="H101" i="38"/>
  <c r="G101" i="38"/>
  <c r="H84" i="38"/>
  <c r="G84" i="38"/>
  <c r="H78" i="38"/>
  <c r="G78" i="38"/>
  <c r="F101" i="38"/>
  <c r="E101" i="38"/>
  <c r="F84" i="38"/>
  <c r="E84" i="38"/>
  <c r="F78" i="38"/>
  <c r="E78" i="38"/>
  <c r="AO99" i="38"/>
  <c r="AO96" i="38"/>
  <c r="AO94" i="38"/>
  <c r="AO91" i="38"/>
  <c r="AO90" i="38"/>
  <c r="AP89" i="38"/>
  <c r="AO89" i="38"/>
  <c r="AO83" i="38"/>
  <c r="AO82" i="38"/>
  <c r="D84" i="38"/>
  <c r="D78" i="38"/>
  <c r="C78" i="38"/>
  <c r="D101" i="38" l="1"/>
  <c r="AO93" i="38"/>
  <c r="AO95" i="38"/>
  <c r="AO97" i="38"/>
  <c r="AO100" i="38"/>
  <c r="N101" i="38"/>
  <c r="AK78" i="38"/>
  <c r="AK102" i="38" s="1"/>
  <c r="C101" i="38"/>
  <c r="AO88" i="38"/>
  <c r="AO101" i="38" s="1"/>
  <c r="F102" i="38"/>
  <c r="G102" i="38"/>
  <c r="I102" i="38"/>
  <c r="K102" i="38"/>
  <c r="R102" i="38"/>
  <c r="T102" i="38"/>
  <c r="Z102" i="38"/>
  <c r="AB102" i="38"/>
  <c r="AD102" i="38"/>
  <c r="AF102" i="38"/>
  <c r="AH102" i="38"/>
  <c r="AJ102" i="38"/>
  <c r="AM102" i="38"/>
  <c r="X78" i="38"/>
  <c r="X102" i="38" s="1"/>
  <c r="U78" i="38"/>
  <c r="U102" i="38" s="1"/>
  <c r="AQ102" i="38"/>
  <c r="AO81" i="38"/>
  <c r="AO84" i="38" s="1"/>
  <c r="C84" i="38"/>
  <c r="E102" i="38"/>
  <c r="H102" i="38"/>
  <c r="J102" i="38"/>
  <c r="L102" i="38"/>
  <c r="N78" i="38"/>
  <c r="N102" i="38" s="1"/>
  <c r="N84" i="38"/>
  <c r="O78" i="38"/>
  <c r="O102" i="38" s="1"/>
  <c r="Q102" i="38"/>
  <c r="S102" i="38"/>
  <c r="W102" i="38"/>
  <c r="Y102" i="38"/>
  <c r="AA102" i="38"/>
  <c r="AC102" i="38"/>
  <c r="AE102" i="38"/>
  <c r="AG102" i="38"/>
  <c r="AI102" i="38"/>
  <c r="AL102" i="38"/>
  <c r="AN102" i="38"/>
  <c r="P78" i="38"/>
  <c r="P102" i="38" s="1"/>
  <c r="V78" i="38"/>
  <c r="V102" i="38" s="1"/>
  <c r="AR102" i="38"/>
  <c r="AP88" i="38"/>
  <c r="D102" i="38"/>
  <c r="C102" i="38" l="1"/>
  <c r="AP73" i="38"/>
  <c r="AY33" i="38"/>
  <c r="AE32" i="38"/>
  <c r="AE31" i="38"/>
  <c r="AE30" i="38"/>
  <c r="AE29" i="38"/>
  <c r="AE28" i="38"/>
  <c r="AE27" i="38"/>
  <c r="AE26" i="38"/>
  <c r="AE25" i="38"/>
  <c r="AE24" i="38"/>
  <c r="AE23" i="38"/>
  <c r="AE22" i="38"/>
  <c r="AE21" i="38"/>
  <c r="AE20" i="38"/>
  <c r="AE19" i="38"/>
  <c r="AE18" i="38"/>
  <c r="AE17" i="38"/>
  <c r="AE16" i="38"/>
  <c r="AE15" i="38"/>
  <c r="AE14" i="38"/>
  <c r="AP100" i="38"/>
  <c r="AP99" i="38"/>
  <c r="AP97" i="38"/>
  <c r="AP96" i="38"/>
  <c r="AP95" i="38"/>
  <c r="AP94" i="38"/>
  <c r="AP93" i="38"/>
  <c r="AP91" i="38"/>
  <c r="AP90" i="38"/>
  <c r="AP82" i="38"/>
  <c r="AP83" i="38"/>
  <c r="D2" i="38"/>
  <c r="B4" i="40" s="1"/>
  <c r="N14" i="38"/>
  <c r="N15" i="38"/>
  <c r="O15" i="38" s="1"/>
  <c r="N16" i="38"/>
  <c r="O16" i="38" s="1"/>
  <c r="AF16" i="38" s="1"/>
  <c r="N17" i="38"/>
  <c r="O17" i="38" s="1"/>
  <c r="N18" i="38"/>
  <c r="O18" i="38" s="1"/>
  <c r="AF18" i="38" s="1"/>
  <c r="N19" i="38"/>
  <c r="O19" i="38" s="1"/>
  <c r="N20" i="38"/>
  <c r="O20" i="38" s="1"/>
  <c r="AF20" i="38" s="1"/>
  <c r="N21" i="38"/>
  <c r="O21" i="38" s="1"/>
  <c r="N22" i="38"/>
  <c r="O22" i="38" s="1"/>
  <c r="AF22" i="38" s="1"/>
  <c r="N23" i="38"/>
  <c r="O23" i="38" s="1"/>
  <c r="N24" i="38"/>
  <c r="O24" i="38" s="1"/>
  <c r="AF24" i="38" s="1"/>
  <c r="N25" i="38"/>
  <c r="O25" i="38" s="1"/>
  <c r="N26" i="38"/>
  <c r="O26" i="38" s="1"/>
  <c r="AF26" i="38" s="1"/>
  <c r="N27" i="38"/>
  <c r="O27" i="38" s="1"/>
  <c r="N28" i="38"/>
  <c r="O28" i="38" s="1"/>
  <c r="AF28" i="38" s="1"/>
  <c r="N29" i="38"/>
  <c r="O29" i="38" s="1"/>
  <c r="N30" i="38"/>
  <c r="O30" i="38" s="1"/>
  <c r="AF30" i="38" s="1"/>
  <c r="N31" i="38"/>
  <c r="O31" i="38" s="1"/>
  <c r="N32" i="38"/>
  <c r="O32" i="38" s="1"/>
  <c r="AF32" i="38" s="1"/>
  <c r="N33" i="38"/>
  <c r="O33" i="38" s="1"/>
  <c r="B14" i="36"/>
  <c r="D14" i="36" s="1"/>
  <c r="B15" i="36"/>
  <c r="D15" i="36" s="1"/>
  <c r="B16" i="36"/>
  <c r="D16" i="36" s="1"/>
  <c r="B17" i="36"/>
  <c r="D17" i="36" s="1"/>
  <c r="B19" i="36"/>
  <c r="D19" i="36" s="1"/>
  <c r="B20" i="36"/>
  <c r="D20" i="36" s="1"/>
  <c r="B21" i="36"/>
  <c r="D21" i="36" s="1"/>
  <c r="B22" i="36"/>
  <c r="D22" i="36" s="1"/>
  <c r="B23" i="36"/>
  <c r="D23" i="36" s="1"/>
  <c r="B24" i="36"/>
  <c r="D24" i="36" s="1"/>
  <c r="J13" i="34"/>
  <c r="M13" i="34"/>
  <c r="N13" i="34"/>
  <c r="O13" i="34"/>
  <c r="G16" i="34"/>
  <c r="O16" i="34" s="1"/>
  <c r="H16" i="34"/>
  <c r="I16" i="34"/>
  <c r="M16" i="34"/>
  <c r="N16" i="34"/>
  <c r="D17" i="34"/>
  <c r="D18" i="34" s="1"/>
  <c r="G17" i="34"/>
  <c r="O17" i="34" s="1"/>
  <c r="H17" i="34"/>
  <c r="I17" i="34"/>
  <c r="M17" i="34"/>
  <c r="B18" i="34"/>
  <c r="C18" i="34"/>
  <c r="E18" i="34"/>
  <c r="F18" i="34"/>
  <c r="K18" i="34"/>
  <c r="L18" i="34"/>
  <c r="D21" i="34"/>
  <c r="N21" i="34" s="1"/>
  <c r="G21" i="34"/>
  <c r="O21" i="34" s="1"/>
  <c r="H21" i="34"/>
  <c r="I21" i="34"/>
  <c r="M21" i="34"/>
  <c r="Z16" i="39" s="1"/>
  <c r="O16" i="39" s="1"/>
  <c r="P16" i="39" s="1"/>
  <c r="U21" i="34"/>
  <c r="D22" i="34"/>
  <c r="N22" i="34" s="1"/>
  <c r="G22" i="34"/>
  <c r="H22" i="34"/>
  <c r="I22" i="34"/>
  <c r="M22" i="34"/>
  <c r="O22" i="34"/>
  <c r="U22" i="34"/>
  <c r="D23" i="34"/>
  <c r="N23" i="34" s="1"/>
  <c r="G23" i="34"/>
  <c r="H23" i="34"/>
  <c r="I23" i="34"/>
  <c r="M23" i="34"/>
  <c r="O23" i="34"/>
  <c r="B24" i="34"/>
  <c r="C24" i="34"/>
  <c r="E24" i="34"/>
  <c r="F24" i="34"/>
  <c r="K24" i="34"/>
  <c r="L24" i="34"/>
  <c r="D28" i="34"/>
  <c r="N28" i="34" s="1"/>
  <c r="G28" i="34"/>
  <c r="O28" i="34" s="1"/>
  <c r="H28" i="34"/>
  <c r="I28" i="34"/>
  <c r="M28" i="34"/>
  <c r="U28" i="34"/>
  <c r="Y15" i="15" s="1"/>
  <c r="Z15" i="15" s="1"/>
  <c r="D29" i="34"/>
  <c r="N29" i="34" s="1"/>
  <c r="G29" i="34"/>
  <c r="H29" i="34"/>
  <c r="I29" i="34"/>
  <c r="M29" i="34"/>
  <c r="O29" i="34"/>
  <c r="U29" i="34"/>
  <c r="Y30" i="15" s="1"/>
  <c r="Z30" i="15" s="1"/>
  <c r="D30" i="34"/>
  <c r="G30" i="34"/>
  <c r="O30" i="34" s="1"/>
  <c r="H30" i="34"/>
  <c r="I30" i="34"/>
  <c r="M30" i="34"/>
  <c r="N30" i="34"/>
  <c r="U30" i="34"/>
  <c r="D31" i="34"/>
  <c r="G31" i="34"/>
  <c r="H31" i="34"/>
  <c r="I31" i="34"/>
  <c r="M31" i="34"/>
  <c r="N31" i="34"/>
  <c r="O31" i="34"/>
  <c r="U31" i="34"/>
  <c r="D33" i="34"/>
  <c r="N33" i="34" s="1"/>
  <c r="G33" i="34"/>
  <c r="O33" i="34" s="1"/>
  <c r="H33" i="34"/>
  <c r="I33" i="34"/>
  <c r="M33" i="34"/>
  <c r="U33" i="34"/>
  <c r="D34" i="34"/>
  <c r="N34" i="34" s="1"/>
  <c r="G34" i="34"/>
  <c r="O34" i="34" s="1"/>
  <c r="H34" i="34"/>
  <c r="I34" i="34"/>
  <c r="M34" i="34"/>
  <c r="U34" i="34"/>
  <c r="D35" i="34"/>
  <c r="N35" i="34" s="1"/>
  <c r="G35" i="34"/>
  <c r="O35" i="34" s="1"/>
  <c r="H35" i="34"/>
  <c r="I35" i="34"/>
  <c r="M35" i="34"/>
  <c r="U35" i="34"/>
  <c r="D36" i="34"/>
  <c r="N36" i="34" s="1"/>
  <c r="G36" i="34"/>
  <c r="O36" i="34" s="1"/>
  <c r="H36" i="34"/>
  <c r="I36" i="34"/>
  <c r="M36" i="34"/>
  <c r="U36" i="34"/>
  <c r="D37" i="34"/>
  <c r="N37" i="34" s="1"/>
  <c r="G37" i="34"/>
  <c r="O37" i="34" s="1"/>
  <c r="I37" i="34"/>
  <c r="J37" i="34" s="1"/>
  <c r="AC37" i="34" s="1"/>
  <c r="M37" i="34"/>
  <c r="AD37" i="34" s="1"/>
  <c r="D39" i="34"/>
  <c r="N39" i="34" s="1"/>
  <c r="G39" i="34"/>
  <c r="O39" i="34" s="1"/>
  <c r="H39" i="34"/>
  <c r="I39" i="34"/>
  <c r="M39" i="34"/>
  <c r="D40" i="34"/>
  <c r="N40" i="34" s="1"/>
  <c r="G40" i="34"/>
  <c r="O40" i="34" s="1"/>
  <c r="H40" i="34"/>
  <c r="I40" i="34"/>
  <c r="M40" i="34"/>
  <c r="B41" i="34"/>
  <c r="C41" i="34"/>
  <c r="E41" i="34"/>
  <c r="F41" i="34"/>
  <c r="K41" i="34"/>
  <c r="L41" i="34"/>
  <c r="G4" i="13"/>
  <c r="A1" i="13" s="1"/>
  <c r="W12" i="13"/>
  <c r="Q12" i="13"/>
  <c r="R12" i="13"/>
  <c r="S12" i="13"/>
  <c r="T12" i="13"/>
  <c r="U12" i="13"/>
  <c r="V12" i="13"/>
  <c r="W13" i="13"/>
  <c r="Q13" i="13"/>
  <c r="R13" i="13"/>
  <c r="S13" i="13"/>
  <c r="T13" i="13"/>
  <c r="U13" i="13"/>
  <c r="V13" i="13"/>
  <c r="Q17" i="13"/>
  <c r="R17" i="13"/>
  <c r="S17" i="13"/>
  <c r="T17" i="13"/>
  <c r="U17" i="13"/>
  <c r="V17" i="13"/>
  <c r="W17" i="13"/>
  <c r="Q18" i="13"/>
  <c r="R18" i="13"/>
  <c r="S18" i="13"/>
  <c r="T18" i="13"/>
  <c r="U18" i="13"/>
  <c r="V18" i="13"/>
  <c r="W18" i="13"/>
  <c r="E4" i="14"/>
  <c r="A1" i="14" s="1"/>
  <c r="D12" i="14"/>
  <c r="D13" i="14"/>
  <c r="B14" i="14"/>
  <c r="C14" i="14"/>
  <c r="E4" i="15"/>
  <c r="A1" i="15" s="1"/>
  <c r="F4" i="30"/>
  <c r="A1" i="30" s="1"/>
  <c r="M13" i="30"/>
  <c r="I13" i="30" s="1"/>
  <c r="N13" i="30"/>
  <c r="O13" i="30"/>
  <c r="P13" i="30"/>
  <c r="G14" i="30"/>
  <c r="G15" i="30"/>
  <c r="M15" i="30" s="1"/>
  <c r="N15" i="30"/>
  <c r="G18" i="30"/>
  <c r="M18" i="30" s="1"/>
  <c r="G19" i="30"/>
  <c r="G20" i="30"/>
  <c r="M20" i="30" s="1"/>
  <c r="G21" i="30"/>
  <c r="G23" i="30"/>
  <c r="M23" i="30" s="1"/>
  <c r="N23" i="30"/>
  <c r="P23" i="30"/>
  <c r="G24" i="30"/>
  <c r="G25" i="30"/>
  <c r="M25" i="30" s="1"/>
  <c r="N25" i="30"/>
  <c r="G28" i="30"/>
  <c r="M28" i="30" s="1"/>
  <c r="N28" i="30"/>
  <c r="G29" i="30"/>
  <c r="G30" i="30"/>
  <c r="M30" i="30" s="1"/>
  <c r="G31" i="30"/>
  <c r="G33" i="30"/>
  <c r="M33" i="30"/>
  <c r="I33" i="30" s="1"/>
  <c r="N33" i="30"/>
  <c r="O33" i="30"/>
  <c r="J33" i="30" s="1"/>
  <c r="P33" i="30"/>
  <c r="G34" i="30"/>
  <c r="AO77" i="38"/>
  <c r="AO73" i="38"/>
  <c r="AO76" i="38"/>
  <c r="AO78" i="38" s="1"/>
  <c r="AP76" i="38"/>
  <c r="AP81" i="38"/>
  <c r="AP84" i="38" s="1"/>
  <c r="O30" i="30"/>
  <c r="O25" i="30"/>
  <c r="O20" i="30"/>
  <c r="O15" i="30"/>
  <c r="AB28" i="34"/>
  <c r="L42" i="34" l="1"/>
  <c r="J39" i="34"/>
  <c r="AC39" i="34" s="1"/>
  <c r="J30" i="34"/>
  <c r="AC30" i="34" s="1"/>
  <c r="N17" i="34"/>
  <c r="N18" i="34" s="1"/>
  <c r="J29" i="34"/>
  <c r="AC29" i="34" s="1"/>
  <c r="J31" i="34"/>
  <c r="AC31" i="34" s="1"/>
  <c r="AD40" i="34"/>
  <c r="AL40" i="34"/>
  <c r="AD39" i="34"/>
  <c r="AL39" i="34"/>
  <c r="M41" i="34"/>
  <c r="AL41" i="34" s="1"/>
  <c r="AD33" i="34"/>
  <c r="AL33" i="34"/>
  <c r="J33" i="34"/>
  <c r="P30" i="34"/>
  <c r="E16" i="36" s="1"/>
  <c r="P29" i="34"/>
  <c r="E15" i="36" s="1"/>
  <c r="F15" i="36" s="1"/>
  <c r="G15" i="36" s="1"/>
  <c r="H15" i="36" s="1"/>
  <c r="P28" i="34"/>
  <c r="W28" i="34" s="1"/>
  <c r="J28" i="34"/>
  <c r="AD23" i="34"/>
  <c r="AL23" i="34"/>
  <c r="Z23" i="39"/>
  <c r="O23" i="39" s="1"/>
  <c r="P23" i="39" s="1"/>
  <c r="AL22" i="34"/>
  <c r="AD22" i="34"/>
  <c r="G24" i="34"/>
  <c r="J21" i="34"/>
  <c r="Z15" i="39" s="1"/>
  <c r="O15" i="39" s="1"/>
  <c r="P15" i="39" s="1"/>
  <c r="AD17" i="34"/>
  <c r="AL17" i="34"/>
  <c r="G18" i="34"/>
  <c r="J17" i="34"/>
  <c r="P16" i="34"/>
  <c r="AD13" i="34"/>
  <c r="AL13" i="34"/>
  <c r="AC13" i="34"/>
  <c r="AK13" i="34"/>
  <c r="P13" i="34"/>
  <c r="AM13" i="34" s="1"/>
  <c r="J40" i="34"/>
  <c r="G41" i="34"/>
  <c r="G42" i="34" s="1"/>
  <c r="C59" i="36"/>
  <c r="D59" i="36" s="1"/>
  <c r="E59" i="36" s="1"/>
  <c r="F59" i="36" s="1"/>
  <c r="J34" i="34"/>
  <c r="P34" i="34"/>
  <c r="E20" i="36" s="1"/>
  <c r="F20" i="36" s="1"/>
  <c r="G20" i="36" s="1"/>
  <c r="H20" i="36" s="1"/>
  <c r="J23" i="34"/>
  <c r="J22" i="34"/>
  <c r="P40" i="34"/>
  <c r="AM40" i="34" s="1"/>
  <c r="P37" i="34"/>
  <c r="C57" i="36" s="1"/>
  <c r="D57" i="36" s="1"/>
  <c r="E57" i="36" s="1"/>
  <c r="F57" i="36" s="1"/>
  <c r="P33" i="34"/>
  <c r="AM33" i="34" s="1"/>
  <c r="P23" i="34"/>
  <c r="AM23" i="34" s="1"/>
  <c r="P22" i="34"/>
  <c r="AM22" i="34" s="1"/>
  <c r="P21" i="34"/>
  <c r="AM21" i="34" s="1"/>
  <c r="E26" i="36"/>
  <c r="I41" i="34"/>
  <c r="I24" i="34"/>
  <c r="N24" i="34"/>
  <c r="I18" i="34"/>
  <c r="H18" i="34"/>
  <c r="Z31" i="39"/>
  <c r="O31" i="39" s="1"/>
  <c r="P31" i="39" s="1"/>
  <c r="P39" i="34"/>
  <c r="AM39" i="34" s="1"/>
  <c r="J36" i="34"/>
  <c r="J35" i="34"/>
  <c r="P31" i="34"/>
  <c r="E17" i="36" s="1"/>
  <c r="F17" i="36" s="1"/>
  <c r="G17" i="36" s="1"/>
  <c r="H17" i="36" s="1"/>
  <c r="T15" i="15"/>
  <c r="U15" i="15" s="1"/>
  <c r="J16" i="34"/>
  <c r="T30" i="15"/>
  <c r="U30" i="15" s="1"/>
  <c r="H24" i="34"/>
  <c r="D24" i="34"/>
  <c r="M18" i="34"/>
  <c r="AL18" i="34" s="1"/>
  <c r="J13" i="30"/>
  <c r="P25" i="30"/>
  <c r="O23" i="30"/>
  <c r="N18" i="30"/>
  <c r="N30" i="30"/>
  <c r="N20" i="30"/>
  <c r="G26" i="30"/>
  <c r="P15" i="30"/>
  <c r="P30" i="30"/>
  <c r="P28" i="30"/>
  <c r="O28" i="30"/>
  <c r="P20" i="30"/>
  <c r="P18" i="30"/>
  <c r="O18" i="30"/>
  <c r="G35" i="30"/>
  <c r="D14" i="14"/>
  <c r="K42" i="34"/>
  <c r="O24" i="34"/>
  <c r="M24" i="34"/>
  <c r="AL24" i="34" s="1"/>
  <c r="P36" i="34"/>
  <c r="E22" i="36" s="1"/>
  <c r="F22" i="36" s="1"/>
  <c r="G22" i="36" s="1"/>
  <c r="H22" i="36" s="1"/>
  <c r="O41" i="34"/>
  <c r="B4" i="30"/>
  <c r="AP101" i="38"/>
  <c r="B4" i="13"/>
  <c r="B4" i="39"/>
  <c r="H41" i="34"/>
  <c r="B3" i="34"/>
  <c r="AO102" i="38"/>
  <c r="AF31" i="38"/>
  <c r="AF29" i="38"/>
  <c r="AF27" i="38"/>
  <c r="AF25" i="38"/>
  <c r="AF23" i="38"/>
  <c r="AF21" i="38"/>
  <c r="AF19" i="38"/>
  <c r="AF17" i="38"/>
  <c r="AF15" i="38"/>
  <c r="AE33" i="38"/>
  <c r="G36" i="30"/>
  <c r="P35" i="34"/>
  <c r="Z32" i="39" s="1"/>
  <c r="O32" i="39" s="1"/>
  <c r="P32" i="39" s="1"/>
  <c r="N41" i="34"/>
  <c r="D41" i="34"/>
  <c r="O18" i="34"/>
  <c r="O14" i="38"/>
  <c r="N34" i="38"/>
  <c r="AE34" i="38"/>
  <c r="B3" i="36"/>
  <c r="AB35" i="34"/>
  <c r="AE35" i="34" s="1"/>
  <c r="AB29" i="34"/>
  <c r="AA24" i="34"/>
  <c r="AB21" i="34"/>
  <c r="Z41" i="34"/>
  <c r="AB39" i="34"/>
  <c r="Z18" i="34"/>
  <c r="AB36" i="34"/>
  <c r="AB34" i="34"/>
  <c r="AE34" i="34" s="1"/>
  <c r="AB33" i="34"/>
  <c r="AB30" i="34"/>
  <c r="AB23" i="34"/>
  <c r="B4" i="15"/>
  <c r="B4" i="14"/>
  <c r="AB22" i="34"/>
  <c r="AB40" i="34"/>
  <c r="AB37" i="34"/>
  <c r="AE37" i="34" s="1"/>
  <c r="AB31" i="34"/>
  <c r="AA41" i="34"/>
  <c r="AB16" i="34"/>
  <c r="AE16" i="34" s="1"/>
  <c r="Z24" i="34"/>
  <c r="AK30" i="34" l="1"/>
  <c r="AE33" i="34"/>
  <c r="AE21" i="34"/>
  <c r="AK39" i="34"/>
  <c r="W21" i="34"/>
  <c r="C54" i="36" s="1"/>
  <c r="D54" i="36" s="1"/>
  <c r="E54" i="36" s="1"/>
  <c r="F54" i="36" s="1"/>
  <c r="E23" i="36"/>
  <c r="F23" i="36" s="1"/>
  <c r="G23" i="36" s="1"/>
  <c r="H23" i="36" s="1"/>
  <c r="AD41" i="34"/>
  <c r="P17" i="34"/>
  <c r="AM17" i="34" s="1"/>
  <c r="AE22" i="34"/>
  <c r="AE23" i="34"/>
  <c r="W33" i="34"/>
  <c r="Y14" i="15"/>
  <c r="Z14" i="15" s="1"/>
  <c r="E14" i="36"/>
  <c r="F14" i="36" s="1"/>
  <c r="G14" i="36" s="1"/>
  <c r="H14" i="36" s="1"/>
  <c r="AM28" i="34"/>
  <c r="Y29" i="15"/>
  <c r="Z29" i="15" s="1"/>
  <c r="AE36" i="34"/>
  <c r="AE40" i="34"/>
  <c r="AE39" i="34"/>
  <c r="AK31" i="34"/>
  <c r="AE31" i="34"/>
  <c r="AM30" i="34"/>
  <c r="AE30" i="34"/>
  <c r="T14" i="15"/>
  <c r="U14" i="15" s="1"/>
  <c r="W30" i="34"/>
  <c r="C50" i="36" s="1"/>
  <c r="D50" i="36" s="1"/>
  <c r="E50" i="36" s="1"/>
  <c r="F50" i="36" s="1"/>
  <c r="AE29" i="34"/>
  <c r="AK29" i="34"/>
  <c r="W29" i="34"/>
  <c r="J18" i="34"/>
  <c r="AK18" i="34" s="1"/>
  <c r="N42" i="34"/>
  <c r="I36" i="30"/>
  <c r="J36" i="30" s="1"/>
  <c r="AC40" i="34"/>
  <c r="AK40" i="34"/>
  <c r="E19" i="36"/>
  <c r="F19" i="36" s="1"/>
  <c r="G19" i="36" s="1"/>
  <c r="H19" i="36" s="1"/>
  <c r="Z33" i="39"/>
  <c r="O33" i="39" s="1"/>
  <c r="P33" i="39" s="1"/>
  <c r="AM36" i="34"/>
  <c r="AK36" i="34"/>
  <c r="AC36" i="34"/>
  <c r="W34" i="34"/>
  <c r="Z19" i="39"/>
  <c r="O19" i="39" s="1"/>
  <c r="P19" i="39" s="1"/>
  <c r="AC33" i="34"/>
  <c r="AK33" i="34"/>
  <c r="AM29" i="34"/>
  <c r="AE28" i="34"/>
  <c r="T29" i="15"/>
  <c r="U29" i="15" s="1"/>
  <c r="AM31" i="34"/>
  <c r="AC28" i="34"/>
  <c r="AK28" i="34"/>
  <c r="P24" i="34"/>
  <c r="AM24" i="34" s="1"/>
  <c r="W22" i="34"/>
  <c r="E24" i="36"/>
  <c r="AC23" i="34"/>
  <c r="AK23" i="34"/>
  <c r="Z22" i="39"/>
  <c r="O22" i="39" s="1"/>
  <c r="P22" i="39" s="1"/>
  <c r="AK22" i="34"/>
  <c r="D42" i="34"/>
  <c r="AC21" i="34"/>
  <c r="AK21" i="34"/>
  <c r="AC17" i="34"/>
  <c r="AK17" i="34"/>
  <c r="J24" i="34"/>
  <c r="AC22" i="34"/>
  <c r="M42" i="34"/>
  <c r="AL42" i="34" s="1"/>
  <c r="AD24" i="34"/>
  <c r="W36" i="34"/>
  <c r="J41" i="34"/>
  <c r="W31" i="34"/>
  <c r="O42" i="34"/>
  <c r="AB43" i="34"/>
  <c r="AF14" i="38"/>
  <c r="O34" i="38"/>
  <c r="E21" i="36"/>
  <c r="P41" i="34"/>
  <c r="W35" i="34"/>
  <c r="Z42" i="34"/>
  <c r="AB24" i="34"/>
  <c r="AB41" i="34"/>
  <c r="F16" i="36"/>
  <c r="G16" i="36" s="1"/>
  <c r="H16" i="36" s="1"/>
  <c r="AP77" i="38"/>
  <c r="AP78" i="38" s="1"/>
  <c r="AP102" i="38" s="1"/>
  <c r="AB13" i="34"/>
  <c r="AE13" i="34" s="1"/>
  <c r="C36" i="36" l="1"/>
  <c r="D36" i="36" s="1"/>
  <c r="E36" i="36" s="1"/>
  <c r="F36" i="36" s="1"/>
  <c r="P18" i="34"/>
  <c r="AM18" i="34" s="1"/>
  <c r="AC18" i="34"/>
  <c r="C52" i="36"/>
  <c r="D52" i="36" s="1"/>
  <c r="E52" i="36" s="1"/>
  <c r="F52" i="36" s="1"/>
  <c r="C55" i="36"/>
  <c r="D55" i="36" s="1"/>
  <c r="E55" i="36" s="1"/>
  <c r="F55" i="36" s="1"/>
  <c r="AE24" i="34"/>
  <c r="AE41" i="34"/>
  <c r="AM41" i="34"/>
  <c r="J42" i="34"/>
  <c r="AK42" i="34" s="1"/>
  <c r="AK41" i="34"/>
  <c r="AC24" i="34"/>
  <c r="AK24" i="34"/>
  <c r="AC41" i="34"/>
  <c r="F21" i="36"/>
  <c r="G21" i="36" s="1"/>
  <c r="H21" i="36" s="1"/>
  <c r="AF33" i="38"/>
  <c r="AF34" i="38"/>
  <c r="AB17" i="34"/>
  <c r="AA18" i="34"/>
  <c r="AR14" i="38"/>
  <c r="AQ33" i="38"/>
  <c r="AR30" i="38"/>
  <c r="AR28" i="38"/>
  <c r="AR26" i="38"/>
  <c r="AR24" i="38"/>
  <c r="AR22" i="38"/>
  <c r="AR20" i="38"/>
  <c r="AR18" i="38"/>
  <c r="AR16" i="38"/>
  <c r="AR31" i="38"/>
  <c r="AR29" i="38"/>
  <c r="AR27" i="38"/>
  <c r="AR25" i="38"/>
  <c r="AR23" i="38"/>
  <c r="AR21" i="38"/>
  <c r="AR19" i="38"/>
  <c r="AR17" i="38"/>
  <c r="AR15" i="38"/>
  <c r="AR32" i="38"/>
  <c r="P42" i="34" l="1"/>
  <c r="AM42" i="34" s="1"/>
  <c r="AC42" i="34"/>
  <c r="AA42" i="34"/>
  <c r="AD42" i="34" s="1"/>
  <c r="AD18" i="34"/>
  <c r="AB18" i="34"/>
  <c r="AE17" i="34"/>
  <c r="AR34" i="38"/>
  <c r="F26" i="36"/>
  <c r="G26" i="36" s="1"/>
  <c r="H26" i="36" s="1"/>
  <c r="AR33" i="38"/>
  <c r="AB42" i="34" l="1"/>
  <c r="AE42" i="34" s="1"/>
  <c r="AE18" i="34"/>
  <c r="F24" i="36"/>
  <c r="G24" i="36" s="1"/>
  <c r="H24" i="36" s="1"/>
</calcChain>
</file>

<file path=xl/sharedStrings.xml><?xml version="1.0" encoding="utf-8"?>
<sst xmlns="http://schemas.openxmlformats.org/spreadsheetml/2006/main" count="1334" uniqueCount="434">
  <si>
    <t>Institution:</t>
  </si>
  <si>
    <t>Forecast</t>
  </si>
  <si>
    <t>Total</t>
  </si>
  <si>
    <t>(Calculated)</t>
  </si>
  <si>
    <t>(1)</t>
  </si>
  <si>
    <t>(2)</t>
  </si>
  <si>
    <t>(3)</t>
  </si>
  <si>
    <t>(4)</t>
  </si>
  <si>
    <t>(5)</t>
  </si>
  <si>
    <t>(6)</t>
  </si>
  <si>
    <t>(10)</t>
  </si>
  <si>
    <t>(11)</t>
  </si>
  <si>
    <t>(12)</t>
  </si>
  <si>
    <t>(13)</t>
  </si>
  <si>
    <t>(14)</t>
  </si>
  <si>
    <t>(15)</t>
  </si>
  <si>
    <t>(16)</t>
  </si>
  <si>
    <t>(17)</t>
  </si>
  <si>
    <t>Pre-clinical</t>
  </si>
  <si>
    <t>Pre-clinical Medicine</t>
  </si>
  <si>
    <t>Pre-clinical Dentistry</t>
  </si>
  <si>
    <t>Education</t>
  </si>
  <si>
    <t>BEd  Physical Education</t>
  </si>
  <si>
    <t>Taught Postgraduate</t>
  </si>
  <si>
    <t>Taught PG: UG fees</t>
  </si>
  <si>
    <t>Undergraduate</t>
  </si>
  <si>
    <t>Research Postgraduate</t>
  </si>
  <si>
    <t>Year of course</t>
  </si>
  <si>
    <t>2</t>
  </si>
  <si>
    <t>3</t>
  </si>
  <si>
    <t>4</t>
  </si>
  <si>
    <t>5</t>
  </si>
  <si>
    <t>FTE</t>
  </si>
  <si>
    <t>Primary</t>
  </si>
  <si>
    <t>Secondary</t>
  </si>
  <si>
    <t>BEd Music</t>
  </si>
  <si>
    <t>BEd Physical Education</t>
  </si>
  <si>
    <t>BEd Technology</t>
  </si>
  <si>
    <t xml:space="preserve">Combined Degrees in Education </t>
  </si>
  <si>
    <t>Enrolments on TQ(FE) courses</t>
  </si>
  <si>
    <t>1</t>
  </si>
  <si>
    <t>At your institution</t>
  </si>
  <si>
    <t>At another institution</t>
  </si>
  <si>
    <t>Teaching Sector</t>
  </si>
  <si>
    <t>Headcount</t>
  </si>
  <si>
    <t>Year of Course</t>
  </si>
  <si>
    <t>Medicine</t>
  </si>
  <si>
    <t>Clinical</t>
  </si>
  <si>
    <t>Enter</t>
  </si>
  <si>
    <t>Part-time</t>
  </si>
  <si>
    <t>Clinical Medicine</t>
  </si>
  <si>
    <t>Clinical Dentistry</t>
  </si>
  <si>
    <t>Type of Course</t>
  </si>
  <si>
    <t>Adult</t>
  </si>
  <si>
    <t>Three-year</t>
  </si>
  <si>
    <t>Conversion</t>
  </si>
  <si>
    <t>Graduate entry</t>
  </si>
  <si>
    <t>Mental Health</t>
  </si>
  <si>
    <t>Child Health</t>
  </si>
  <si>
    <t>Learning Disability</t>
  </si>
  <si>
    <t>Midwifery</t>
  </si>
  <si>
    <t>(7)</t>
  </si>
  <si>
    <t>(8)</t>
  </si>
  <si>
    <t>(9)</t>
  </si>
  <si>
    <t>Full-time</t>
  </si>
  <si>
    <t>Aberdeen, University of</t>
  </si>
  <si>
    <t>Abertay Dundee, University of</t>
  </si>
  <si>
    <t>Dundee, University of</t>
  </si>
  <si>
    <t>Edinburgh, University of</t>
  </si>
  <si>
    <t>Glasgow Caledonian University</t>
  </si>
  <si>
    <t>Glasgow School of Art</t>
  </si>
  <si>
    <t>Glasgow, University of</t>
  </si>
  <si>
    <t>Heriot-Watt University</t>
  </si>
  <si>
    <t>Robert Gordon University</t>
  </si>
  <si>
    <t>St Andrews, University of</t>
  </si>
  <si>
    <t>Stirling, University of</t>
  </si>
  <si>
    <t>Strathclyde, University of</t>
  </si>
  <si>
    <t>Open University in Scotland (completions)</t>
  </si>
  <si>
    <t>Head- count</t>
  </si>
  <si>
    <t>Group 1</t>
  </si>
  <si>
    <t>Group 2</t>
  </si>
  <si>
    <t>Gaelic</t>
  </si>
  <si>
    <t>Calculated</t>
  </si>
  <si>
    <t>Referenced</t>
  </si>
  <si>
    <t>Queen Margaret University, Edinburgh</t>
  </si>
  <si>
    <t>West of Scotland, University of the</t>
  </si>
  <si>
    <t>Check FTE is less than or equal to Headcount:</t>
  </si>
  <si>
    <t>Table 1</t>
  </si>
  <si>
    <t>(*) These totals should equal the corresponding course totals on Table 1</t>
  </si>
  <si>
    <t>Edinburgh Napier University</t>
  </si>
  <si>
    <t>(18)</t>
  </si>
  <si>
    <t>(19)</t>
  </si>
  <si>
    <t>Head-
count</t>
  </si>
  <si>
    <t>Total
funded
places</t>
  </si>
  <si>
    <t>Autumn
Count</t>
  </si>
  <si>
    <t>Year 0</t>
  </si>
  <si>
    <t>Year 1</t>
  </si>
  <si>
    <t>Year 2</t>
  </si>
  <si>
    <t>Year 3</t>
  </si>
  <si>
    <t>Year 4</t>
  </si>
  <si>
    <t>Year 5</t>
  </si>
  <si>
    <t>Controlled</t>
  </si>
  <si>
    <t>Group 3</t>
  </si>
  <si>
    <t>flag=1</t>
  </si>
  <si>
    <t>Warning messages</t>
  </si>
  <si>
    <t>Difference from Table 1</t>
  </si>
  <si>
    <t>Difference
from figure
in Table 1</t>
  </si>
  <si>
    <t>Check for cells where only one of  FTE and headcount is non-zero:</t>
  </si>
  <si>
    <t>Students
eligible
for
funding</t>
  </si>
  <si>
    <t>Intake missing?</t>
  </si>
  <si>
    <t>Check total against figure in Table 1</t>
  </si>
  <si>
    <t>Difference
OK?</t>
  </si>
  <si>
    <t>Difference OK?</t>
  </si>
  <si>
    <t>Students eligible for funding in all subject areas and students not eligible for funding in controlled subject areas</t>
  </si>
  <si>
    <t>Students Eligible for Funding</t>
  </si>
  <si>
    <t>Full-time and Sandwich (excluding short full-time)</t>
  </si>
  <si>
    <t>Part-time
(including short full-time)</t>
  </si>
  <si>
    <t>Autumn Count</t>
  </si>
  <si>
    <t>Other</t>
  </si>
  <si>
    <t>(20)</t>
  </si>
  <si>
    <t>(21)</t>
  </si>
  <si>
    <t>(22)</t>
  </si>
  <si>
    <t>Controlled Subject Areas</t>
  </si>
  <si>
    <t>Nursing and Midwifery</t>
  </si>
  <si>
    <t>Non-Controlled Subject Areas</t>
  </si>
  <si>
    <t>PGCE / PGDE Primary</t>
  </si>
  <si>
    <t>PGCE / PGDE Secondary</t>
  </si>
  <si>
    <t>Other subject areas</t>
  </si>
  <si>
    <t>Medicine and Dentistry</t>
  </si>
  <si>
    <t>STEM subject areas</t>
  </si>
  <si>
    <t>All Levels</t>
  </si>
  <si>
    <t>The cells with a white background are those in which figures can be entered.</t>
  </si>
  <si>
    <t>Full-time
and
sandwich
(excl-
uding
short
full-time)</t>
  </si>
  <si>
    <t>Part-time
(incl-
uding
short
full-time)</t>
  </si>
  <si>
    <t>BEd Primary</t>
  </si>
  <si>
    <t>Enter /
Calculated</t>
  </si>
  <si>
    <t>Enrolments compared to funded places</t>
  </si>
  <si>
    <t>Scottish
Govern-
ment
funded
places</t>
  </si>
  <si>
    <t>Fees-only students</t>
  </si>
  <si>
    <t>Percentage</t>
  </si>
  <si>
    <t>Highlands and Islands, University of the</t>
  </si>
  <si>
    <t>Open University in Scotland</t>
  </si>
  <si>
    <t>Royal Conservatoire of Scotland</t>
  </si>
  <si>
    <t>Check total</t>
  </si>
  <si>
    <t>Institution</t>
  </si>
  <si>
    <t>Clinical
medicine</t>
  </si>
  <si>
    <t>Clinical
dentistry</t>
  </si>
  <si>
    <t>BEd
Primary</t>
  </si>
  <si>
    <t>BEd
Music</t>
  </si>
  <si>
    <t>BEd PE</t>
  </si>
  <si>
    <t>BEd
Technology</t>
  </si>
  <si>
    <t>PGDE
Primary</t>
  </si>
  <si>
    <t>PGDE
Secondary</t>
  </si>
  <si>
    <t>Pre-
clinical
medicine</t>
  </si>
  <si>
    <t>Pre-
clinical
dentistry</t>
  </si>
  <si>
    <t>Clinical medicine</t>
  </si>
  <si>
    <t>Clinical dentistry</t>
  </si>
  <si>
    <t>PGDE Primary</t>
  </si>
  <si>
    <t>PGDE Secondary</t>
  </si>
  <si>
    <t>Nursing
and
Midwifery
Pre-regis-
tration</t>
  </si>
  <si>
    <t>SFC</t>
  </si>
  <si>
    <t>Scottish Government</t>
  </si>
  <si>
    <t xml:space="preserve">Non-
controlled
funded
places </t>
  </si>
  <si>
    <t>Community
Education</t>
  </si>
  <si>
    <t>SFC
total</t>
  </si>
  <si>
    <t>(23)</t>
  </si>
  <si>
    <t>(24)</t>
  </si>
  <si>
    <t>(25)</t>
  </si>
  <si>
    <t>(26)</t>
  </si>
  <si>
    <t>(27)</t>
  </si>
  <si>
    <t>(28)</t>
  </si>
  <si>
    <t>(29)</t>
  </si>
  <si>
    <t>(31)</t>
  </si>
  <si>
    <t>(30)</t>
  </si>
  <si>
    <t>Table flags</t>
  </si>
  <si>
    <t>Institution selected</t>
  </si>
  <si>
    <t>Students enrolled on Catholic courses
or modules studying ITE</t>
  </si>
  <si>
    <t>Intake to the priority subjects</t>
  </si>
  <si>
    <r>
      <rPr>
        <b/>
        <sz val="14"/>
        <rFont val="Garamond"/>
        <family val="1"/>
      </rPr>
      <t xml:space="preserve">Courses
</t>
    </r>
    <r>
      <rPr>
        <sz val="14"/>
        <rFont val="Garamond"/>
        <family val="1"/>
      </rPr>
      <t xml:space="preserve">
(Only those which lead to
registration with the
General Teaching Council)</t>
    </r>
  </si>
  <si>
    <t>(Calcul-
ated)</t>
  </si>
  <si>
    <t>Intake
to the
course</t>
  </si>
  <si>
    <t>Col</t>
  </si>
  <si>
    <t>Indicative Numbers</t>
  </si>
  <si>
    <t>Controlled Indicative Numbers:
All students eligible for funding and rest of UK entrants</t>
  </si>
  <si>
    <t>Medicine
under-
graduates</t>
  </si>
  <si>
    <t>Dentistry
under-
graduates</t>
  </si>
  <si>
    <t>Non-controlled
Indicative
number
for 2012-13:
Full-time
Scots and
non-UK
EU
under-
graduates
only</t>
  </si>
  <si>
    <t>(32)</t>
  </si>
  <si>
    <t>(33)</t>
  </si>
  <si>
    <t>(34)</t>
  </si>
  <si>
    <t>(35)</t>
  </si>
  <si>
    <t>(36)</t>
  </si>
  <si>
    <t>(37)</t>
  </si>
  <si>
    <t>Parameters</t>
  </si>
  <si>
    <t>Controlled Under-enrolments</t>
  </si>
  <si>
    <t>Non-controlled Under-enrolments</t>
  </si>
  <si>
    <t>Is there an
under-
enrolment
below the
tolerance
threshold
(Yes or
No) ?</t>
  </si>
  <si>
    <t>Controlled subject areas</t>
  </si>
  <si>
    <t>Non-controlled subject areas</t>
  </si>
  <si>
    <t>Taught Postgraduate and Undergraduate</t>
  </si>
  <si>
    <t>Subject area</t>
  </si>
  <si>
    <t>Non-controlled Subject Areas</t>
  </si>
  <si>
    <t>Is there a
breach of
consol-
idation
(Yes or
No) ?</t>
  </si>
  <si>
    <t>Difference between 
enrolments and
Indicative Number</t>
  </si>
  <si>
    <t>(38)</t>
  </si>
  <si>
    <t>Rest of UK Students
Not Eligible for Funding
in Controlled Subject Areas</t>
  </si>
  <si>
    <t>Total for
Controlled
Subject
Areas for
Monitoring
Consol-
idation
for Scots /
Other EU /
Rest of UK</t>
  </si>
  <si>
    <t>Funded Places and Indicative Numbers</t>
  </si>
  <si>
    <t>Title</t>
  </si>
  <si>
    <t>Early Statistics 2012-13</t>
  </si>
  <si>
    <t>Aberdeen,
University of</t>
  </si>
  <si>
    <t>Abertay Dundee,
University of</t>
  </si>
  <si>
    <t>Dundee,
University of</t>
  </si>
  <si>
    <t>West of Scotland,
University of the</t>
  </si>
  <si>
    <t>Strathclyde,
University of</t>
  </si>
  <si>
    <t>Stirling,
University of</t>
  </si>
  <si>
    <t>St Andrews,
University of</t>
  </si>
  <si>
    <t>Robert Gordon
University</t>
  </si>
  <si>
    <t>Queen Margaret
University, Edinburgh</t>
  </si>
  <si>
    <t>Royal Conservatoire
of Scotland</t>
  </si>
  <si>
    <t>Highlands and Islands,
University of the</t>
  </si>
  <si>
    <t>Glasgow Caledonian
University</t>
  </si>
  <si>
    <t>Edinburgh,
University of</t>
  </si>
  <si>
    <t>Edinburgh Napier
University</t>
  </si>
  <si>
    <t>Heriot-Watt
University</t>
  </si>
  <si>
    <t>(39)</t>
  </si>
  <si>
    <t>(40)</t>
  </si>
  <si>
    <t>Open University
in Scotland
(Enrolments)</t>
  </si>
  <si>
    <t>Open University
in Scotland
(Completions)</t>
  </si>
  <si>
    <t>Level of Study / Subject Area</t>
  </si>
  <si>
    <t>(43)</t>
  </si>
  <si>
    <t>Included in Table</t>
  </si>
  <si>
    <t>2a</t>
  </si>
  <si>
    <t>2b</t>
  </si>
  <si>
    <t>2c</t>
  </si>
  <si>
    <t>Scots, Other EU, Rest of UK</t>
  </si>
  <si>
    <t>Medicine Undergraduates:</t>
  </si>
  <si>
    <t>Nursing and Midwifery Pre-registration:</t>
  </si>
  <si>
    <t>Full-time undergraduates (Scots, Other EU)</t>
  </si>
  <si>
    <t>Enrolments</t>
  </si>
  <si>
    <t>Consolidation tolerance (&gt;=100)</t>
  </si>
  <si>
    <t>Consolidation tolerance (&lt;100) (FTE)</t>
  </si>
  <si>
    <t>Rest of
UK</t>
  </si>
  <si>
    <t>Intake to the Course</t>
  </si>
  <si>
    <t>Students
on inter-
calating
degrees</t>
  </si>
  <si>
    <t>Eligible
for funding
able to
teach
in the
Gaelic
medium</t>
  </si>
  <si>
    <t>Medical
inter-
national
under-
graduates</t>
  </si>
  <si>
    <t>Dental
inter-
national
under-
graduates</t>
  </si>
  <si>
    <t>Does sum of Priority Secondary subjects equal Secondary PGDE total ?</t>
  </si>
  <si>
    <t>Difference
from Table 1</t>
  </si>
  <si>
    <t>Check total against Table 1</t>
  </si>
  <si>
    <r>
      <rPr>
        <b/>
        <sz val="14"/>
        <rFont val="Garamond"/>
        <family val="1"/>
      </rPr>
      <t>Level of Study</t>
    </r>
    <r>
      <rPr>
        <b/>
        <sz val="14"/>
        <color indexed="18"/>
        <rFont val="Garamond"/>
        <family val="1"/>
      </rPr>
      <t xml:space="preserve"> / </t>
    </r>
    <r>
      <rPr>
        <b/>
        <sz val="14"/>
        <color indexed="56"/>
        <rFont val="Garamond"/>
        <family val="1"/>
      </rPr>
      <t>Subject Areas</t>
    </r>
  </si>
  <si>
    <t>For Students Eligible for Funding:</t>
  </si>
  <si>
    <t>For Rest of UK Students:</t>
  </si>
  <si>
    <t>Nursing and Midwifery Pre-registration</t>
  </si>
  <si>
    <t>Initial Teacher Education (BEd and PGDE)
(Scots, Other EU, Rest of UK):</t>
  </si>
  <si>
    <t>Dentistry</t>
  </si>
  <si>
    <t>British
Sign
Language</t>
  </si>
  <si>
    <t>STEM subjects</t>
  </si>
  <si>
    <t>Other subjects</t>
  </si>
  <si>
    <t>Scottish Funding Council Early Statistics Return 2013-14: Table 1</t>
  </si>
  <si>
    <t>Scottish Funding Council Early Statistics Return 2013-14: Table 2a</t>
  </si>
  <si>
    <t>Students eligible for funding on Initial Teacher Education courses, 2013-14</t>
  </si>
  <si>
    <t>Scottish Funding Council Early Statistics Return 2013-14: Table 2b</t>
  </si>
  <si>
    <t>Number of students on Teaching Qualification (Further Education) (TQ(FE)) Courses, 2013-14</t>
  </si>
  <si>
    <t>Scottish Funding Council Early Statistics Return 2013-14: Table 2c</t>
  </si>
  <si>
    <t>Students eligible for funding enrolled on Catholic courses or modules, 2013-14</t>
  </si>
  <si>
    <t>Scottish Funding Council Early Statistics Return 2013-14: Table 3</t>
  </si>
  <si>
    <t>Students on undergraduate medicine and dentistry courses, 2013-14</t>
  </si>
  <si>
    <t>Scottish Funding Council Early Statistics Return 2013-14: Table 4</t>
  </si>
  <si>
    <t>Scottish Funding Council Early Statistics Return 2013-14: Table 5</t>
  </si>
  <si>
    <t>Monitoring for Under-enrolments against Funded Places or Breaches of Consolidation, 2013-14</t>
  </si>
  <si>
    <t>Students eligible for funding in controlled subject areas, 2013-14</t>
  </si>
  <si>
    <t>Students
eligible
for  
funding
2013-14
from 
Table1</t>
  </si>
  <si>
    <t>Students eligible for funding in non-controlled subject areas, 2013-14</t>
  </si>
  <si>
    <t>Enrolments compared to Indicative student numbers, 2013-14</t>
  </si>
  <si>
    <t>Indicative
Numbers 
2013-14</t>
  </si>
  <si>
    <t>Scottish Funding Council Early Statistics Return 2013-14</t>
  </si>
  <si>
    <t>STEM</t>
  </si>
  <si>
    <t>Crichton
campus</t>
  </si>
  <si>
    <t>The
University
of the
Highlands
and
Islands</t>
  </si>
  <si>
    <t>Regional
Coherence</t>
  </si>
  <si>
    <t>Widening
Access</t>
  </si>
  <si>
    <t>Articulation</t>
  </si>
  <si>
    <t>Skills
for
Growth
(Under-
graduate)</t>
  </si>
  <si>
    <t>Other
changes
to funded
places</t>
  </si>
  <si>
    <t>(41)</t>
  </si>
  <si>
    <t>(42)</t>
  </si>
  <si>
    <t>Taught
post-
graduate</t>
  </si>
  <si>
    <t>Before
additional
funded
places
strategic
total</t>
  </si>
  <si>
    <t>Initial
Teacher
Education
Primary</t>
  </si>
  <si>
    <t>Initial
Teacher
Education
Secondary</t>
  </si>
  <si>
    <t>Nursing
and
midwifery
pre-
registration</t>
  </si>
  <si>
    <t>Additional Funded Places</t>
  </si>
  <si>
    <t>SFC
funded
places</t>
  </si>
  <si>
    <t>SRUC</t>
  </si>
  <si>
    <t>Students eligible for funding</t>
  </si>
  <si>
    <t>International</t>
  </si>
  <si>
    <t>Type of student</t>
  </si>
  <si>
    <t>Stage and Year of Course</t>
  </si>
  <si>
    <t>Use of Additional Funded Places for 2013-14</t>
  </si>
  <si>
    <t>Scheme</t>
  </si>
  <si>
    <t>Allocation of
additional
funded
places</t>
  </si>
  <si>
    <t>Associated
enrolments
(*)</t>
  </si>
  <si>
    <t>Course</t>
  </si>
  <si>
    <t>College</t>
  </si>
  <si>
    <t>First degree
level
tuition fee</t>
  </si>
  <si>
    <t>HN level
tuition fee</t>
  </si>
  <si>
    <t>Table 5b: Use of Additional Funded Places for Undergraduate Skills for Growth</t>
  </si>
  <si>
    <t>Course / Subject Area</t>
  </si>
  <si>
    <t>Widening Access   (*)</t>
  </si>
  <si>
    <t>Regional Coherence    (*)</t>
  </si>
  <si>
    <t>(*) For Widening Access and Regional Coherence enter the FTE number of places that have been filled.  You do not have to return the total FTE associated with this provision.</t>
  </si>
  <si>
    <t>(**) For Community Education and British Sign Language enter the total FTE number of enrolments.</t>
  </si>
  <si>
    <t>Community Education   (**)</t>
  </si>
  <si>
    <t>British Sign Language   (**)</t>
  </si>
  <si>
    <t>(*) For Undergraduate Skills for Growth enter the FTE number of places that have been filled.  You do not have to return the total FTE associated with this provision.</t>
  </si>
  <si>
    <t>Table 5c: Use of Additional Funded Places for Taught Postgraduate Provision</t>
  </si>
  <si>
    <t>(*) For Taught Postgraduates enter the FTE number of places that have been filled.  You do not have to return the total FTE associated with this provision.</t>
  </si>
  <si>
    <t>Table 5d: Use of Additional Funded Places for Articulation</t>
  </si>
  <si>
    <t>Table 5e: Use of Additional Funded Places for Crichton Campus</t>
  </si>
  <si>
    <t>(*) Enter the total FTE number of enrolments at Crichton campus.</t>
  </si>
  <si>
    <t>Table 5a: Use of Additional Funded Places for Widening Access, Community Education, British Sign Language and Regional Coherence</t>
  </si>
  <si>
    <t>Associated
enrolments
(*) (**)</t>
  </si>
  <si>
    <t>Associated Enrolments   (*)</t>
  </si>
  <si>
    <t>International Medical University of Malaysia</t>
  </si>
  <si>
    <t>Closed loop programme: Canada</t>
  </si>
  <si>
    <t>Total
(*)</t>
  </si>
  <si>
    <t>(*) The total(s) for students eligible for funding and rest of UK should equal the corresponding totals on Table 1.</t>
  </si>
  <si>
    <t>(*) For Articulation enter the FTE number of places that have been filled.  You do not have to return the total FTE associated with this provision.</t>
  </si>
  <si>
    <t>Students on Nursing and Midwifery Pre-registration courses, 2013-14</t>
  </si>
  <si>
    <t>Num-
ber</t>
  </si>
  <si>
    <t>Embedded Funded Places</t>
  </si>
  <si>
    <t>Crichton</t>
  </si>
  <si>
    <t>(44)</t>
  </si>
  <si>
    <t>(45)</t>
  </si>
  <si>
    <t>Total Additional Funded Places for</t>
  </si>
  <si>
    <t>(46)</t>
  </si>
  <si>
    <t>(47)</t>
  </si>
  <si>
    <t>(48)</t>
  </si>
  <si>
    <t>(49)</t>
  </si>
  <si>
    <t>5a</t>
  </si>
  <si>
    <t>5b</t>
  </si>
  <si>
    <t>5c</t>
  </si>
  <si>
    <t>5d</t>
  </si>
  <si>
    <t>5e</t>
  </si>
  <si>
    <t>Total
additonal
places
shown in
table 5</t>
  </si>
  <si>
    <t>(50)</t>
  </si>
  <si>
    <t>Funded Places</t>
  </si>
  <si>
    <t>Minimum of funded places and actual enrolments</t>
  </si>
  <si>
    <t>Check</t>
  </si>
  <si>
    <t>Minimum
of funded
places
and actual
enrol-
ments</t>
  </si>
  <si>
    <t>Difference
(If funded
places
awarded)</t>
  </si>
  <si>
    <t>Difference (If funded places awarded)</t>
  </si>
  <si>
    <t>Non-
controlled
funded
places</t>
  </si>
  <si>
    <t>Students
eligible
for  
funding
2013-14
from 
table1</t>
  </si>
  <si>
    <t>(2) Excludes enrolments associated with the additional places covered in table 5.</t>
  </si>
  <si>
    <t>(1) Excludes funded places for Widening Access, Community Education, British Sign Language, Regional Coherence</t>
  </si>
  <si>
    <t xml:space="preserve">     Undergraduate Skills for Growth, Taught Postgraduate, Articulation and Crichton Campus, which are covered in table 5.</t>
  </si>
  <si>
    <t>Postgraduate (Undergraduate fee)</t>
  </si>
  <si>
    <t>Rest of UK paying de-regulated tuition fees</t>
  </si>
  <si>
    <t>Intake
but no
enrol-
ments</t>
  </si>
  <si>
    <t>Enrol-
ments
but no
intake</t>
  </si>
  <si>
    <t>Intake
greater
than
total
enrol-
ments</t>
  </si>
  <si>
    <t>Students
in year
2 or
later</t>
  </si>
  <si>
    <t>Intake
equals
total
enrol-
ments</t>
  </si>
  <si>
    <t>Intake
equals
total
enrol-
ments
and
students
in year
2 or
later</t>
  </si>
  <si>
    <t>Gaelic
head-
count
intake
non-zero
but FTE
intake is
missing</t>
  </si>
  <si>
    <t>Corres-
ponding
figure
from
Table 1</t>
  </si>
  <si>
    <t>Total
enrol-
ments
non-zero
but
intake is
missing</t>
  </si>
  <si>
    <t>Intake
non-zero
but no
enrol-
ments</t>
  </si>
  <si>
    <t>Intake
greater
than
enrol-
ments</t>
  </si>
  <si>
    <t>Intake
equals
total
enrol-
ments
and
enrol-
ments in
year 2 or
later</t>
  </si>
  <si>
    <t>International Total</t>
  </si>
  <si>
    <t>Intake or
enrolments
missing?</t>
  </si>
  <si>
    <t>Intake
inconsistent
with enrolments?</t>
  </si>
  <si>
    <t>Intake inconsistent
with enrolments?</t>
  </si>
  <si>
    <t>Intake or
enrolments missing?</t>
  </si>
  <si>
    <t>Intake or enrolments
missing?</t>
  </si>
  <si>
    <t>Differ-
ence
from
table 1</t>
  </si>
  <si>
    <t>Intake
equals
total
enrol-
ments
both
non-zero</t>
  </si>
  <si>
    <t>Only intake recorded?</t>
  </si>
  <si>
    <t>Intake inconsistent with enrolments?</t>
  </si>
  <si>
    <t>Enrolments
missing?</t>
  </si>
  <si>
    <t>Final Figures 2012-13</t>
  </si>
  <si>
    <t>Early Statistics /
Final Figures Tables
Column Number</t>
  </si>
  <si>
    <t>Percentage Difference</t>
  </si>
  <si>
    <t>Comparison with Early Statistics for 2012-13</t>
  </si>
  <si>
    <t>Comparison with Final Figures for 2012-13</t>
  </si>
  <si>
    <t>Look up
for
Early
Statistics
and
Final
Figures
for
2012-13</t>
  </si>
  <si>
    <t>An individual student should not be counted in more than one of the tables.</t>
  </si>
  <si>
    <t>Contin-
uing
Rest
of UK
(*)</t>
  </si>
  <si>
    <t>Of which
TPG
enrolments
associated
with
Innovation
Centres (**)</t>
  </si>
  <si>
    <t xml:space="preserve">(*) 'Continuing rest of UK' are those students who are eligible for funding because they started their courses prior to 2012-13, but would not have been eligible for funding if they had started in 2012-13 or later because they would have been paying de-regulated tuition fees.  </t>
  </si>
  <si>
    <t>(**) The taught postgraduate enrolments recorded in column (16) should be included in the total enrolments shown in column (15) and not in addition to those enrolments.</t>
  </si>
  <si>
    <t>See Notes of Guidance, Paragraphs 68 to 71</t>
  </si>
  <si>
    <t>See Notes of Guidance, Paragraph 72</t>
  </si>
  <si>
    <t>See Notes of Guidance, Paragraphs 73 and 74</t>
  </si>
  <si>
    <t>See Notes of Guidance, Paragraphs 75 to 80</t>
  </si>
  <si>
    <t>See Notes of Guidance, Paragraphs 81 to 88</t>
  </si>
  <si>
    <t>See Notes of Guidance, Paragraphs 89 to 104</t>
  </si>
  <si>
    <t>See Notes of Guidance, Paragraphs 105 to 107</t>
  </si>
  <si>
    <t>Dentistry Undergraduates:</t>
  </si>
  <si>
    <t>(7) The tolerance threshold for the controlled subject areas is 3%.</t>
  </si>
  <si>
    <t>(5) The tolerance threshold for the non-controlled subject areas is 2%.</t>
  </si>
  <si>
    <t>(5) The tolerance threshold is 10% if the indicative number is at least 100 FTE or 10 FTE if the indicative number is less than 100 FTE.</t>
  </si>
  <si>
    <r>
      <t xml:space="preserve">The information should be returned to Des Parr (email: dparr@sfc.ac.uk) by </t>
    </r>
    <r>
      <rPr>
        <b/>
        <sz val="14"/>
        <rFont val="Garamond"/>
        <family val="1"/>
      </rPr>
      <t>Friday 13 December 2013</t>
    </r>
    <r>
      <rPr>
        <sz val="14"/>
        <rFont val="Garamond"/>
        <family val="1"/>
      </rPr>
      <t>.</t>
    </r>
  </si>
  <si>
    <t>School of Life Sciences</t>
  </si>
  <si>
    <t>MLitt Theatre Practices</t>
  </si>
  <si>
    <t>MLitt Playwriting &amp; Dramaturgy</t>
  </si>
  <si>
    <t>MLitt Dress and Textile Histories</t>
  </si>
  <si>
    <t>MLitt Art History: History of Collecting and Collections</t>
  </si>
  <si>
    <t xml:space="preserve">MLitt Art Historyy: Art: Politics: Transgression: 20th Centuary Avant-Gardes </t>
  </si>
  <si>
    <t>MLitt Material Culture &amp; Artefact Studies</t>
  </si>
  <si>
    <t>MRes Mammilian Biology</t>
  </si>
  <si>
    <t>MSc Medical Visualisation &amp; Human Anatomy</t>
  </si>
  <si>
    <t>MSc Animal Welfare Science, Ethics &amp; Law</t>
  </si>
  <si>
    <t>MSc Information Technology</t>
  </si>
  <si>
    <t>MSc Software Development</t>
  </si>
  <si>
    <t>MSc Aeronautical Engineering</t>
  </si>
  <si>
    <t>MSc Nanoscience and Nanotechnology</t>
  </si>
  <si>
    <t>MSc Financial Risk Management</t>
  </si>
  <si>
    <t>MSc Investment &amp; Fund Management</t>
  </si>
  <si>
    <t>Mlitt Environment, Culture &amp; Communication</t>
  </si>
  <si>
    <t>MSc in City Planning and Real Estate Development</t>
  </si>
  <si>
    <t>MSc in Real Estate</t>
  </si>
  <si>
    <t>MSc in Real Estate and Regeneration</t>
  </si>
  <si>
    <t>PG Certificate in Real Estate</t>
  </si>
  <si>
    <t>MA Primary Education</t>
  </si>
  <si>
    <t>BSc. Environmental Stewardship</t>
  </si>
  <si>
    <t>Dumfries and Galloway College</t>
  </si>
  <si>
    <t>West College</t>
  </si>
  <si>
    <t>Ayrshire College</t>
  </si>
  <si>
    <t>City of Glasgow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</si>
</sst>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-;\-* #,##0.00_-;_-* &quot;-&quot;??_-;_-@_-"/>
    <numFmt numFmtId="164" formatCode="#,##0\ \ \ "/>
    <numFmt numFmtId="165" formatCode="#,##0\ \ "/>
    <numFmt numFmtId="166" formatCode="0.0%"/>
    <numFmt numFmtId="167" formatCode="#,##0.0\ \ ;\-#,##0.0\ \ ;\ \ "/>
    <numFmt numFmtId="168" formatCode="#,##0.0\ \ \ ;\-#,##0.0\ \ \ "/>
    <numFmt numFmtId="169" formatCode="0\ \ "/>
    <numFmt numFmtId="170" formatCode="#,##0\ \ ;\-#,##0\ \ ;\ \ "/>
    <numFmt numFmtId="171" formatCode="_(* #,##0.00_);_(* \(#,##0.00\);_(* &quot;-&quot;??_);_(@_)"/>
    <numFmt numFmtId="172" formatCode="#,##0.0\ \ \ ;\-#,##0.0\ \ \ ;"/>
    <numFmt numFmtId="173" formatCode="#,##0\ \ ;\-#,##0\ \ ;"/>
    <numFmt numFmtId="174" formatCode="#,##0.0"/>
    <numFmt numFmtId="175" formatCode="#,##0\ \ ;\-#,##0\ \ ;\-\ \ "/>
    <numFmt numFmtId="176" formatCode="#,##0.0\ \ ;\-#,##0.0\ \ ;\-\ \ "/>
    <numFmt numFmtId="177" formatCode="0.0%\ \ "/>
    <numFmt numFmtId="178" formatCode="#,##0;\-#,##0;\-"/>
    <numFmt numFmtId="179" formatCode="#,##0.0\ \ ;\-#,##0.0\ \ ;"/>
    <numFmt numFmtId="180" formatCode="#,##0.0\ \ \ ;\-#,##0.0\ \ \ ;0.0\ \ "/>
    <numFmt numFmtId="181" formatCode="#,##0.0\ \ ;\-#,##0.0\ \ ;0.0\ \ "/>
    <numFmt numFmtId="182" formatCode="#,##0\ \ ;\-#,##0\ ;\-\ \ "/>
    <numFmt numFmtId="183" formatCode="#,##0\ \ ;\-#,##0\ \ ;0\ \ "/>
    <numFmt numFmtId="184" formatCode="#,##0\ \ ;\-#,##0\ \ ;\ \ \ "/>
  </numFmts>
  <fonts count="34">
    <font>
      <sz val="10"/>
      <name val="Arial"/>
    </font>
    <font>
      <sz val="10"/>
      <name val="Arial MT"/>
    </font>
    <font>
      <b/>
      <sz val="14"/>
      <name val="Garamond"/>
      <family val="1"/>
    </font>
    <font>
      <b/>
      <sz val="16"/>
      <name val="Garamond"/>
      <family val="1"/>
    </font>
    <font>
      <sz val="16"/>
      <name val="Garamond"/>
      <family val="1"/>
    </font>
    <font>
      <sz val="14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sz val="10"/>
      <name val="Garamond"/>
      <family val="1"/>
    </font>
    <font>
      <u/>
      <sz val="14"/>
      <color indexed="10"/>
      <name val="Garamond"/>
      <family val="1"/>
    </font>
    <font>
      <sz val="14"/>
      <color indexed="10"/>
      <name val="Garamond"/>
      <family val="1"/>
    </font>
    <font>
      <u/>
      <sz val="14"/>
      <name val="Garamond"/>
      <family val="1"/>
    </font>
    <font>
      <b/>
      <sz val="10"/>
      <name val="Garamond"/>
      <family val="1"/>
    </font>
    <font>
      <b/>
      <sz val="14"/>
      <color indexed="18"/>
      <name val="Garamond"/>
      <family val="1"/>
    </font>
    <font>
      <sz val="14"/>
      <color indexed="8"/>
      <name val="Garamond"/>
      <family val="1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10"/>
      <name val="Garamond"/>
      <family val="1"/>
    </font>
    <font>
      <b/>
      <sz val="14"/>
      <color indexed="20"/>
      <name val="Garamond"/>
      <family val="1"/>
    </font>
    <font>
      <sz val="10"/>
      <name val="Arial"/>
      <family val="2"/>
    </font>
    <font>
      <b/>
      <sz val="14"/>
      <color indexed="56"/>
      <name val="Garamond"/>
      <family val="1"/>
    </font>
    <font>
      <b/>
      <sz val="14"/>
      <color indexed="8"/>
      <name val="Garamond"/>
      <family val="1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color indexed="20"/>
      <name val="Garamond"/>
      <family val="1"/>
    </font>
    <font>
      <b/>
      <sz val="14"/>
      <color indexed="56"/>
      <name val="Garamond"/>
      <family val="1"/>
    </font>
    <font>
      <b/>
      <sz val="14"/>
      <color indexed="18"/>
      <name val="Garamond"/>
      <family val="1"/>
    </font>
    <font>
      <sz val="14"/>
      <color indexed="27"/>
      <name val="Garamond"/>
      <family val="1"/>
    </font>
    <font>
      <sz val="30"/>
      <color indexed="10"/>
      <name val="Garamond"/>
      <family val="1"/>
    </font>
    <font>
      <b/>
      <sz val="14"/>
      <color indexed="20"/>
      <name val="Garamond"/>
      <family val="1"/>
    </font>
    <font>
      <sz val="13"/>
      <name val="Garamond"/>
      <family val="1"/>
    </font>
    <font>
      <b/>
      <sz val="14"/>
      <color theme="3" tint="-0.24994659260841701"/>
      <name val="Garamond"/>
      <family val="1"/>
    </font>
    <font>
      <sz val="14"/>
      <color theme="3" tint="-0.24994659260841701"/>
      <name val="Garamond"/>
      <family val="1"/>
    </font>
    <font>
      <b/>
      <sz val="12"/>
      <color theme="3" tint="-0.24994659260841701"/>
      <name val="Garamond"/>
      <family val="1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1"/>
        <bgColor indexed="35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15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35"/>
      </patternFill>
    </fill>
    <fill>
      <patternFill patternType="solid">
        <fgColor theme="7" tint="0.59996337778862885"/>
        <bgColor indexed="43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0DA"/>
        <bgColor indexed="64"/>
      </patternFill>
    </fill>
  </fills>
  <borders count="10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3">
    <xf numFmtId="0" fontId="0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/>
    <xf numFmtId="0" fontId="22" fillId="0" borderId="0"/>
    <xf numFmtId="0" fontId="19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6" fillId="0" borderId="0"/>
    <xf numFmtId="0" fontId="16" fillId="0" borderId="0"/>
  </cellStyleXfs>
  <cellXfs count="1356">
    <xf numFmtId="0" fontId="0" fillId="0" borderId="0" xfId="0"/>
    <xf numFmtId="0" fontId="7" fillId="0" borderId="0" xfId="0" applyFont="1" applyFill="1" applyProtection="1">
      <protection hidden="1"/>
    </xf>
    <xf numFmtId="0" fontId="5" fillId="2" borderId="0" xfId="0" applyFont="1" applyFill="1" applyBorder="1" applyProtection="1">
      <protection hidden="1"/>
    </xf>
    <xf numFmtId="0" fontId="5" fillId="3" borderId="0" xfId="0" applyFont="1" applyFill="1" applyBorder="1" applyAlignment="1" applyProtection="1">
      <alignment vertical="top"/>
      <protection hidden="1"/>
    </xf>
    <xf numFmtId="169" fontId="5" fillId="3" borderId="0" xfId="0" applyNumberFormat="1" applyFont="1" applyFill="1" applyBorder="1" applyAlignment="1" applyProtection="1">
      <alignment horizontal="center" vertical="center"/>
      <protection hidden="1"/>
    </xf>
    <xf numFmtId="170" fontId="5" fillId="2" borderId="0" xfId="0" applyNumberFormat="1" applyFont="1" applyFill="1" applyBorder="1" applyAlignment="1" applyProtection="1">
      <alignment vertical="center"/>
      <protection hidden="1"/>
    </xf>
    <xf numFmtId="0" fontId="5" fillId="3" borderId="0" xfId="9" applyFont="1" applyFill="1" applyBorder="1" applyAlignment="1" applyProtection="1">
      <alignment vertical="top"/>
      <protection hidden="1"/>
    </xf>
    <xf numFmtId="0" fontId="5" fillId="4" borderId="0" xfId="0" applyFont="1" applyFill="1" applyBorder="1" applyAlignment="1" applyProtection="1">
      <alignment vertical="top"/>
      <protection hidden="1"/>
    </xf>
    <xf numFmtId="0" fontId="5" fillId="4" borderId="0" xfId="0" applyFont="1" applyFill="1" applyBorder="1" applyAlignment="1" applyProtection="1">
      <protection hidden="1"/>
    </xf>
    <xf numFmtId="0" fontId="8" fillId="2" borderId="0" xfId="0" applyFont="1" applyFill="1" applyProtection="1">
      <protection hidden="1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Alignment="1" applyProtection="1">
      <protection hidden="1"/>
    </xf>
    <xf numFmtId="0" fontId="2" fillId="4" borderId="1" xfId="9" applyFont="1" applyFill="1" applyBorder="1" applyAlignment="1" applyProtection="1">
      <alignment horizontal="right" vertical="top"/>
      <protection hidden="1"/>
    </xf>
    <xf numFmtId="0" fontId="5" fillId="3" borderId="2" xfId="0" applyFont="1" applyFill="1" applyBorder="1" applyAlignment="1" applyProtection="1">
      <alignment horizontal="left" vertical="center"/>
      <protection hidden="1"/>
    </xf>
    <xf numFmtId="0" fontId="5" fillId="3" borderId="2" xfId="0" applyFont="1" applyFill="1" applyBorder="1" applyAlignment="1" applyProtection="1">
      <alignment vertical="top"/>
      <protection hidden="1"/>
    </xf>
    <xf numFmtId="0" fontId="5" fillId="5" borderId="0" xfId="4" applyFont="1" applyFill="1" applyBorder="1" applyProtection="1">
      <protection hidden="1"/>
    </xf>
    <xf numFmtId="0" fontId="5" fillId="5" borderId="0" xfId="4" applyFont="1" applyFill="1" applyBorder="1" applyAlignment="1" applyProtection="1">
      <protection hidden="1"/>
    </xf>
    <xf numFmtId="0" fontId="2" fillId="5" borderId="0" xfId="4" applyFont="1" applyFill="1" applyBorder="1" applyAlignment="1" applyProtection="1">
      <alignment horizontal="center" vertical="center"/>
      <protection hidden="1"/>
    </xf>
    <xf numFmtId="0" fontId="2" fillId="5" borderId="4" xfId="0" applyNumberFormat="1" applyFont="1" applyFill="1" applyBorder="1" applyAlignment="1" applyProtection="1">
      <alignment horizontal="center" vertical="top"/>
      <protection hidden="1"/>
    </xf>
    <xf numFmtId="0" fontId="2" fillId="5" borderId="5" xfId="4" applyFont="1" applyFill="1" applyBorder="1" applyAlignment="1" applyProtection="1">
      <alignment horizontal="center" vertical="top"/>
      <protection hidden="1"/>
    </xf>
    <xf numFmtId="0" fontId="2" fillId="5" borderId="4" xfId="4" applyFont="1" applyFill="1" applyBorder="1" applyAlignment="1" applyProtection="1">
      <alignment horizontal="center" vertical="top"/>
      <protection hidden="1"/>
    </xf>
    <xf numFmtId="0" fontId="2" fillId="5" borderId="0" xfId="4" applyFont="1" applyFill="1" applyBorder="1" applyAlignment="1" applyProtection="1">
      <alignment horizontal="center" vertical="top"/>
      <protection hidden="1"/>
    </xf>
    <xf numFmtId="0" fontId="2" fillId="5" borderId="5" xfId="0" applyFont="1" applyFill="1" applyBorder="1" applyAlignment="1" applyProtection="1">
      <alignment horizontal="center" vertical="top" wrapText="1"/>
      <protection hidden="1"/>
    </xf>
    <xf numFmtId="0" fontId="2" fillId="5" borderId="5" xfId="0" applyFont="1" applyFill="1" applyBorder="1" applyAlignment="1" applyProtection="1">
      <alignment horizontal="center" vertical="top"/>
      <protection hidden="1"/>
    </xf>
    <xf numFmtId="0" fontId="2" fillId="5" borderId="4" xfId="0" applyFont="1" applyFill="1" applyBorder="1" applyAlignment="1" applyProtection="1">
      <alignment horizontal="center" vertical="top"/>
      <protection hidden="1"/>
    </xf>
    <xf numFmtId="0" fontId="5" fillId="5" borderId="7" xfId="0" applyFont="1" applyFill="1" applyBorder="1" applyAlignment="1" applyProtection="1">
      <protection hidden="1"/>
    </xf>
    <xf numFmtId="0" fontId="5" fillId="5" borderId="8" xfId="0" applyFont="1" applyFill="1" applyBorder="1" applyAlignment="1" applyProtection="1">
      <protection hidden="1"/>
    </xf>
    <xf numFmtId="0" fontId="5" fillId="5" borderId="7" xfId="4" applyFont="1" applyFill="1" applyBorder="1" applyProtection="1">
      <protection hidden="1"/>
    </xf>
    <xf numFmtId="0" fontId="5" fillId="5" borderId="8" xfId="4" applyFont="1" applyFill="1" applyBorder="1" applyProtection="1">
      <protection hidden="1"/>
    </xf>
    <xf numFmtId="0" fontId="2" fillId="5" borderId="10" xfId="0" applyFont="1" applyFill="1" applyBorder="1" applyAlignment="1" applyProtection="1">
      <alignment horizontal="center" vertical="center" wrapText="1"/>
      <protection hidden="1"/>
    </xf>
    <xf numFmtId="0" fontId="2" fillId="5" borderId="9" xfId="0" applyFont="1" applyFill="1" applyBorder="1" applyAlignment="1" applyProtection="1">
      <alignment horizontal="center" vertical="center" wrapText="1"/>
      <protection hidden="1"/>
    </xf>
    <xf numFmtId="0" fontId="2" fillId="5" borderId="8" xfId="0" applyFont="1" applyFill="1" applyBorder="1" applyAlignment="1" applyProtection="1">
      <alignment horizontal="center" vertical="center" wrapText="1"/>
      <protection hidden="1"/>
    </xf>
    <xf numFmtId="0" fontId="2" fillId="5" borderId="7" xfId="0" applyFont="1" applyFill="1" applyBorder="1" applyAlignment="1" applyProtection="1">
      <alignment horizontal="center" vertical="center" wrapText="1"/>
      <protection hidden="1"/>
    </xf>
    <xf numFmtId="0" fontId="2" fillId="5" borderId="11" xfId="0" applyFont="1" applyFill="1" applyBorder="1" applyAlignment="1" applyProtection="1">
      <alignment horizontal="center" vertical="center" wrapText="1"/>
      <protection hidden="1"/>
    </xf>
    <xf numFmtId="0" fontId="2" fillId="5" borderId="12" xfId="0" applyFont="1" applyFill="1" applyBorder="1" applyAlignment="1" applyProtection="1">
      <alignment horizontal="center" vertical="center" wrapText="1"/>
      <protection hidden="1"/>
    </xf>
    <xf numFmtId="0" fontId="2" fillId="5" borderId="10" xfId="0" quotePrefix="1" applyFont="1" applyFill="1" applyBorder="1" applyAlignment="1" applyProtection="1">
      <alignment horizontal="center" vertical="center" wrapText="1"/>
      <protection hidden="1"/>
    </xf>
    <xf numFmtId="0" fontId="2" fillId="5" borderId="13" xfId="0" quotePrefix="1" applyFont="1" applyFill="1" applyBorder="1" applyAlignment="1" applyProtection="1">
      <alignment horizontal="center" vertical="center" wrapText="1"/>
      <protection hidden="1"/>
    </xf>
    <xf numFmtId="0" fontId="2" fillId="5" borderId="14" xfId="0" quotePrefix="1" applyFont="1" applyFill="1" applyBorder="1" applyAlignment="1" applyProtection="1">
      <alignment horizontal="center" vertical="center" wrapText="1"/>
      <protection hidden="1"/>
    </xf>
    <xf numFmtId="0" fontId="2" fillId="5" borderId="15" xfId="0" quotePrefix="1" applyFont="1" applyFill="1" applyBorder="1" applyAlignment="1" applyProtection="1">
      <alignment horizontal="center" vertical="center" wrapText="1"/>
      <protection hidden="1"/>
    </xf>
    <xf numFmtId="0" fontId="2" fillId="5" borderId="16" xfId="0" quotePrefix="1" applyFont="1" applyFill="1" applyBorder="1" applyAlignment="1" applyProtection="1">
      <alignment horizontal="center" vertical="center" wrapText="1"/>
      <protection hidden="1"/>
    </xf>
    <xf numFmtId="0" fontId="2" fillId="5" borderId="0" xfId="0" applyFont="1" applyFill="1" applyBorder="1" applyAlignment="1" applyProtection="1">
      <alignment horizontal="center" vertical="center" wrapText="1"/>
      <protection hidden="1"/>
    </xf>
    <xf numFmtId="0" fontId="2" fillId="5" borderId="18" xfId="0" quotePrefix="1" applyFont="1" applyFill="1" applyBorder="1" applyAlignment="1" applyProtection="1">
      <alignment horizontal="center" vertical="center" wrapText="1"/>
      <protection hidden="1"/>
    </xf>
    <xf numFmtId="172" fontId="5" fillId="5" borderId="19" xfId="7" applyNumberFormat="1" applyFont="1" applyFill="1" applyBorder="1" applyAlignment="1" applyProtection="1">
      <alignment vertical="center"/>
      <protection hidden="1"/>
    </xf>
    <xf numFmtId="172" fontId="5" fillId="5" borderId="20" xfId="7" applyNumberFormat="1" applyFont="1" applyFill="1" applyBorder="1" applyAlignment="1" applyProtection="1">
      <alignment vertical="center"/>
      <protection hidden="1"/>
    </xf>
    <xf numFmtId="0" fontId="5" fillId="5" borderId="20" xfId="4" applyFont="1" applyFill="1" applyBorder="1" applyProtection="1">
      <protection hidden="1"/>
    </xf>
    <xf numFmtId="0" fontId="5" fillId="5" borderId="21" xfId="4" applyFont="1" applyFill="1" applyBorder="1" applyProtection="1">
      <protection hidden="1"/>
    </xf>
    <xf numFmtId="0" fontId="5" fillId="5" borderId="22" xfId="4" applyFont="1" applyFill="1" applyBorder="1" applyProtection="1">
      <protection hidden="1"/>
    </xf>
    <xf numFmtId="0" fontId="5" fillId="5" borderId="23" xfId="4" applyFont="1" applyFill="1" applyBorder="1" applyProtection="1">
      <protection hidden="1"/>
    </xf>
    <xf numFmtId="0" fontId="5" fillId="5" borderId="11" xfId="4" applyFont="1" applyFill="1" applyBorder="1" applyProtection="1">
      <protection hidden="1"/>
    </xf>
    <xf numFmtId="0" fontId="5" fillId="5" borderId="12" xfId="4" applyFont="1" applyFill="1" applyBorder="1" applyProtection="1">
      <protection hidden="1"/>
    </xf>
    <xf numFmtId="172" fontId="5" fillId="5" borderId="24" xfId="7" applyNumberFormat="1" applyFont="1" applyFill="1" applyBorder="1" applyAlignment="1" applyProtection="1">
      <alignment vertical="center"/>
      <protection hidden="1"/>
    </xf>
    <xf numFmtId="172" fontId="5" fillId="5" borderId="22" xfId="7" applyNumberFormat="1" applyFont="1" applyFill="1" applyBorder="1" applyAlignment="1" applyProtection="1">
      <alignment vertical="center"/>
      <protection hidden="1"/>
    </xf>
    <xf numFmtId="177" fontId="14" fillId="5" borderId="22" xfId="4" applyNumberFormat="1" applyFont="1" applyFill="1" applyBorder="1" applyAlignment="1" applyProtection="1">
      <alignment horizontal="right" vertical="center" indent="1"/>
      <protection hidden="1"/>
    </xf>
    <xf numFmtId="0" fontId="5" fillId="5" borderId="25" xfId="4" applyFont="1" applyFill="1" applyBorder="1" applyProtection="1">
      <protection hidden="1"/>
    </xf>
    <xf numFmtId="0" fontId="5" fillId="5" borderId="26" xfId="4" applyFont="1" applyFill="1" applyBorder="1" applyProtection="1">
      <protection hidden="1"/>
    </xf>
    <xf numFmtId="172" fontId="5" fillId="5" borderId="27" xfId="7" applyNumberFormat="1" applyFont="1" applyFill="1" applyBorder="1" applyAlignment="1" applyProtection="1">
      <alignment vertical="center"/>
      <protection hidden="1"/>
    </xf>
    <xf numFmtId="172" fontId="5" fillId="5" borderId="28" xfId="7" applyNumberFormat="1" applyFont="1" applyFill="1" applyBorder="1" applyAlignment="1" applyProtection="1">
      <alignment vertical="center"/>
      <protection hidden="1"/>
    </xf>
    <xf numFmtId="177" fontId="14" fillId="5" borderId="28" xfId="4" applyNumberFormat="1" applyFont="1" applyFill="1" applyBorder="1" applyAlignment="1" applyProtection="1">
      <alignment horizontal="right" vertical="center" indent="1"/>
      <protection hidden="1"/>
    </xf>
    <xf numFmtId="0" fontId="5" fillId="5" borderId="28" xfId="4" applyFont="1" applyFill="1" applyBorder="1" applyProtection="1">
      <protection hidden="1"/>
    </xf>
    <xf numFmtId="0" fontId="5" fillId="5" borderId="29" xfId="4" applyFont="1" applyFill="1" applyBorder="1" applyProtection="1">
      <protection hidden="1"/>
    </xf>
    <xf numFmtId="0" fontId="5" fillId="5" borderId="10" xfId="4" applyFont="1" applyFill="1" applyBorder="1" applyProtection="1">
      <protection hidden="1"/>
    </xf>
    <xf numFmtId="172" fontId="5" fillId="5" borderId="30" xfId="7" applyNumberFormat="1" applyFont="1" applyFill="1" applyBorder="1" applyAlignment="1" applyProtection="1">
      <alignment vertical="center"/>
      <protection hidden="1"/>
    </xf>
    <xf numFmtId="172" fontId="5" fillId="5" borderId="31" xfId="7" applyNumberFormat="1" applyFont="1" applyFill="1" applyBorder="1" applyAlignment="1" applyProtection="1">
      <alignment vertical="center"/>
      <protection hidden="1"/>
    </xf>
    <xf numFmtId="172" fontId="5" fillId="5" borderId="32" xfId="7" applyNumberFormat="1" applyFont="1" applyFill="1" applyBorder="1" applyAlignment="1" applyProtection="1">
      <alignment vertical="center"/>
      <protection hidden="1"/>
    </xf>
    <xf numFmtId="0" fontId="5" fillId="5" borderId="31" xfId="4" applyFont="1" applyFill="1" applyBorder="1" applyProtection="1">
      <protection hidden="1"/>
    </xf>
    <xf numFmtId="0" fontId="5" fillId="5" borderId="33" xfId="4" applyFont="1" applyFill="1" applyBorder="1" applyProtection="1">
      <protection hidden="1"/>
    </xf>
    <xf numFmtId="172" fontId="5" fillId="5" borderId="10" xfId="7" applyNumberFormat="1" applyFont="1" applyFill="1" applyBorder="1" applyAlignment="1" applyProtection="1">
      <alignment vertical="center"/>
      <protection hidden="1"/>
    </xf>
    <xf numFmtId="172" fontId="5" fillId="5" borderId="7" xfId="7" applyNumberFormat="1" applyFont="1" applyFill="1" applyBorder="1" applyAlignment="1" applyProtection="1">
      <alignment vertical="center"/>
      <protection hidden="1"/>
    </xf>
    <xf numFmtId="177" fontId="14" fillId="5" borderId="31" xfId="4" applyNumberFormat="1" applyFont="1" applyFill="1" applyBorder="1" applyAlignment="1" applyProtection="1">
      <alignment horizontal="right" vertical="center" indent="1"/>
      <protection hidden="1"/>
    </xf>
    <xf numFmtId="0" fontId="5" fillId="5" borderId="34" xfId="4" applyFont="1" applyFill="1" applyBorder="1" applyProtection="1">
      <protection hidden="1"/>
    </xf>
    <xf numFmtId="0" fontId="5" fillId="5" borderId="13" xfId="4" applyFont="1" applyFill="1" applyBorder="1" applyProtection="1">
      <protection hidden="1"/>
    </xf>
    <xf numFmtId="0" fontId="5" fillId="5" borderId="17" xfId="4" applyFont="1" applyFill="1" applyBorder="1" applyProtection="1">
      <protection hidden="1"/>
    </xf>
    <xf numFmtId="0" fontId="5" fillId="5" borderId="18" xfId="4" applyFont="1" applyFill="1" applyBorder="1" applyProtection="1">
      <protection hidden="1"/>
    </xf>
    <xf numFmtId="0" fontId="5" fillId="5" borderId="35" xfId="4" applyFont="1" applyFill="1" applyBorder="1" applyProtection="1">
      <protection hidden="1"/>
    </xf>
    <xf numFmtId="0" fontId="5" fillId="5" borderId="36" xfId="4" applyFont="1" applyFill="1" applyBorder="1" applyProtection="1">
      <protection hidden="1"/>
    </xf>
    <xf numFmtId="172" fontId="5" fillId="5" borderId="6" xfId="7" applyNumberFormat="1" applyFont="1" applyFill="1" applyBorder="1" applyAlignment="1" applyProtection="1">
      <alignment vertical="center"/>
      <protection hidden="1"/>
    </xf>
    <xf numFmtId="177" fontId="14" fillId="5" borderId="7" xfId="4" applyNumberFormat="1" applyFont="1" applyFill="1" applyBorder="1" applyAlignment="1" applyProtection="1">
      <alignment horizontal="right" vertical="center" indent="1"/>
      <protection hidden="1"/>
    </xf>
    <xf numFmtId="172" fontId="5" fillId="5" borderId="37" xfId="7" applyNumberFormat="1" applyFont="1" applyFill="1" applyBorder="1" applyAlignment="1" applyProtection="1">
      <alignment vertical="center"/>
      <protection hidden="1"/>
    </xf>
    <xf numFmtId="0" fontId="5" fillId="5" borderId="38" xfId="4" applyFont="1" applyFill="1" applyBorder="1" applyProtection="1">
      <protection hidden="1"/>
    </xf>
    <xf numFmtId="0" fontId="5" fillId="5" borderId="39" xfId="4" applyFont="1" applyFill="1" applyBorder="1" applyProtection="1">
      <protection hidden="1"/>
    </xf>
    <xf numFmtId="172" fontId="5" fillId="5" borderId="40" xfId="7" applyNumberFormat="1" applyFont="1" applyFill="1" applyBorder="1" applyAlignment="1" applyProtection="1">
      <alignment vertical="center"/>
      <protection hidden="1"/>
    </xf>
    <xf numFmtId="172" fontId="5" fillId="5" borderId="3" xfId="7" applyNumberFormat="1" applyFont="1" applyFill="1" applyBorder="1" applyAlignment="1" applyProtection="1">
      <alignment vertical="center"/>
      <protection hidden="1"/>
    </xf>
    <xf numFmtId="172" fontId="5" fillId="5" borderId="5" xfId="7" applyNumberFormat="1" applyFont="1" applyFill="1" applyBorder="1" applyAlignment="1" applyProtection="1">
      <alignment vertical="center"/>
      <protection hidden="1"/>
    </xf>
    <xf numFmtId="181" fontId="21" fillId="5" borderId="31" xfId="4" applyNumberFormat="1" applyFont="1" applyFill="1" applyBorder="1" applyAlignment="1" applyProtection="1">
      <alignment vertical="center"/>
      <protection locked="0"/>
    </xf>
    <xf numFmtId="181" fontId="21" fillId="5" borderId="41" xfId="4" applyNumberFormat="1" applyFont="1" applyFill="1" applyBorder="1" applyAlignment="1" applyProtection="1">
      <alignment vertical="center"/>
      <protection locked="0"/>
    </xf>
    <xf numFmtId="180" fontId="2" fillId="5" borderId="20" xfId="4" applyNumberFormat="1" applyFont="1" applyFill="1" applyBorder="1" applyAlignment="1" applyProtection="1">
      <alignment vertical="center"/>
      <protection hidden="1"/>
    </xf>
    <xf numFmtId="181" fontId="21" fillId="5" borderId="31" xfId="4" applyNumberFormat="1" applyFont="1" applyFill="1" applyBorder="1" applyAlignment="1" applyProtection="1">
      <alignment vertical="center"/>
      <protection hidden="1"/>
    </xf>
    <xf numFmtId="181" fontId="21" fillId="5" borderId="33" xfId="4" applyNumberFormat="1" applyFont="1" applyFill="1" applyBorder="1" applyAlignment="1" applyProtection="1">
      <alignment vertical="center"/>
      <protection hidden="1"/>
    </xf>
    <xf numFmtId="181" fontId="21" fillId="5" borderId="41" xfId="4" applyNumberFormat="1" applyFont="1" applyFill="1" applyBorder="1" applyAlignment="1" applyProtection="1">
      <alignment vertical="center"/>
      <protection hidden="1"/>
    </xf>
    <xf numFmtId="180" fontId="2" fillId="5" borderId="16" xfId="4" applyNumberFormat="1" applyFont="1" applyFill="1" applyBorder="1" applyAlignment="1" applyProtection="1">
      <alignment vertical="center"/>
      <protection hidden="1"/>
    </xf>
    <xf numFmtId="179" fontId="21" fillId="0" borderId="20" xfId="4" applyNumberFormat="1" applyFont="1" applyFill="1" applyBorder="1" applyAlignment="1" applyProtection="1">
      <alignment vertical="center"/>
      <protection locked="0"/>
    </xf>
    <xf numFmtId="179" fontId="5" fillId="0" borderId="30" xfId="7" applyNumberFormat="1" applyFont="1" applyFill="1" applyBorder="1" applyAlignment="1" applyProtection="1">
      <alignment vertical="center"/>
      <protection locked="0"/>
    </xf>
    <xf numFmtId="179" fontId="5" fillId="0" borderId="31" xfId="7" applyNumberFormat="1" applyFont="1" applyFill="1" applyBorder="1" applyAlignment="1" applyProtection="1">
      <alignment vertical="center"/>
      <protection locked="0"/>
    </xf>
    <xf numFmtId="179" fontId="5" fillId="0" borderId="32" xfId="7" applyNumberFormat="1" applyFont="1" applyFill="1" applyBorder="1" applyAlignment="1" applyProtection="1">
      <alignment vertical="center"/>
      <protection locked="0"/>
    </xf>
    <xf numFmtId="172" fontId="5" fillId="5" borderId="42" xfId="7" applyNumberFormat="1" applyFont="1" applyFill="1" applyBorder="1" applyAlignment="1" applyProtection="1">
      <alignment vertical="center"/>
      <protection hidden="1"/>
    </xf>
    <xf numFmtId="172" fontId="5" fillId="5" borderId="2" xfId="7" applyNumberFormat="1" applyFont="1" applyFill="1" applyBorder="1" applyAlignment="1" applyProtection="1">
      <alignment vertical="center"/>
      <protection hidden="1"/>
    </xf>
    <xf numFmtId="172" fontId="5" fillId="5" borderId="43" xfId="7" applyNumberFormat="1" applyFont="1" applyFill="1" applyBorder="1" applyAlignment="1" applyProtection="1">
      <alignment vertical="center"/>
      <protection hidden="1"/>
    </xf>
    <xf numFmtId="179" fontId="5" fillId="0" borderId="40" xfId="7" applyNumberFormat="1" applyFont="1" applyFill="1" applyBorder="1" applyAlignment="1" applyProtection="1">
      <alignment vertical="center"/>
      <protection locked="0"/>
    </xf>
    <xf numFmtId="181" fontId="21" fillId="5" borderId="32" xfId="4" applyNumberFormat="1" applyFont="1" applyFill="1" applyBorder="1" applyAlignment="1" applyProtection="1">
      <alignment vertical="center"/>
      <protection hidden="1"/>
    </xf>
    <xf numFmtId="181" fontId="2" fillId="5" borderId="30" xfId="4" applyNumberFormat="1" applyFont="1" applyFill="1" applyBorder="1" applyAlignment="1" applyProtection="1">
      <alignment vertical="center"/>
      <protection hidden="1"/>
    </xf>
    <xf numFmtId="181" fontId="2" fillId="5" borderId="31" xfId="4" applyNumberFormat="1" applyFont="1" applyFill="1" applyBorder="1" applyAlignment="1" applyProtection="1">
      <alignment vertical="center"/>
      <protection hidden="1"/>
    </xf>
    <xf numFmtId="181" fontId="2" fillId="5" borderId="33" xfId="4" applyNumberFormat="1" applyFont="1" applyFill="1" applyBorder="1" applyAlignment="1" applyProtection="1">
      <alignment vertical="center"/>
      <protection hidden="1"/>
    </xf>
    <xf numFmtId="181" fontId="2" fillId="5" borderId="35" xfId="4" applyNumberFormat="1" applyFont="1" applyFill="1" applyBorder="1" applyAlignment="1" applyProtection="1">
      <alignment vertical="center"/>
      <protection hidden="1"/>
    </xf>
    <xf numFmtId="181" fontId="2" fillId="5" borderId="44" xfId="4" applyNumberFormat="1" applyFont="1" applyFill="1" applyBorder="1" applyAlignment="1" applyProtection="1">
      <alignment vertical="center"/>
      <protection hidden="1"/>
    </xf>
    <xf numFmtId="0" fontId="5" fillId="5" borderId="2" xfId="4" applyFont="1" applyFill="1" applyBorder="1" applyAlignment="1" applyProtection="1">
      <protection hidden="1"/>
    </xf>
    <xf numFmtId="0" fontId="5" fillId="5" borderId="2" xfId="4" applyFont="1" applyFill="1" applyBorder="1" applyProtection="1">
      <protection hidden="1"/>
    </xf>
    <xf numFmtId="0" fontId="2" fillId="5" borderId="45" xfId="0" applyNumberFormat="1" applyFont="1" applyFill="1" applyBorder="1" applyAlignment="1" applyProtection="1">
      <alignment horizontal="center" vertical="top"/>
      <protection hidden="1"/>
    </xf>
    <xf numFmtId="0" fontId="5" fillId="5" borderId="46" xfId="4" applyFont="1" applyFill="1" applyBorder="1" applyProtection="1">
      <protection hidden="1"/>
    </xf>
    <xf numFmtId="180" fontId="5" fillId="5" borderId="20" xfId="4" applyNumberFormat="1" applyFont="1" applyFill="1" applyBorder="1" applyAlignment="1" applyProtection="1">
      <protection hidden="1"/>
    </xf>
    <xf numFmtId="0" fontId="5" fillId="5" borderId="47" xfId="4" applyNumberFormat="1" applyFont="1" applyFill="1" applyBorder="1" applyAlignment="1" applyProtection="1">
      <protection hidden="1"/>
    </xf>
    <xf numFmtId="0" fontId="5" fillId="5" borderId="20" xfId="4" applyNumberFormat="1" applyFont="1" applyFill="1" applyBorder="1" applyAlignment="1" applyProtection="1">
      <protection hidden="1"/>
    </xf>
    <xf numFmtId="0" fontId="9" fillId="6" borderId="9" xfId="0" applyFont="1" applyFill="1" applyBorder="1" applyAlignment="1" applyProtection="1">
      <protection hidden="1"/>
    </xf>
    <xf numFmtId="0" fontId="2" fillId="5" borderId="0" xfId="0" applyNumberFormat="1" applyFont="1" applyFill="1" applyBorder="1" applyAlignment="1" applyProtection="1">
      <alignment horizontal="right" vertical="center" indent="1"/>
      <protection hidden="1"/>
    </xf>
    <xf numFmtId="0" fontId="10" fillId="6" borderId="9" xfId="0" applyFont="1" applyFill="1" applyBorder="1" applyAlignment="1" applyProtection="1">
      <alignment vertical="center"/>
      <protection hidden="1"/>
    </xf>
    <xf numFmtId="0" fontId="10" fillId="6" borderId="9" xfId="0" applyFont="1" applyFill="1" applyBorder="1" applyAlignment="1" applyProtection="1">
      <protection hidden="1"/>
    </xf>
    <xf numFmtId="0" fontId="5" fillId="7" borderId="0" xfId="4" applyFont="1" applyFill="1" applyBorder="1" applyAlignment="1" applyProtection="1">
      <protection hidden="1"/>
    </xf>
    <xf numFmtId="0" fontId="5" fillId="7" borderId="11" xfId="4" applyFont="1" applyFill="1" applyBorder="1" applyProtection="1">
      <protection hidden="1"/>
    </xf>
    <xf numFmtId="0" fontId="5" fillId="7" borderId="8" xfId="0" applyFont="1" applyFill="1" applyBorder="1" applyAlignment="1" applyProtection="1">
      <alignment horizontal="center" vertical="top" wrapText="1"/>
      <protection hidden="1"/>
    </xf>
    <xf numFmtId="172" fontId="18" fillId="6" borderId="4" xfId="0" applyNumberFormat="1" applyFont="1" applyFill="1" applyBorder="1" applyAlignment="1" applyProtection="1">
      <alignment horizontal="center" vertical="top" wrapText="1"/>
      <protection hidden="1"/>
    </xf>
    <xf numFmtId="0" fontId="2" fillId="7" borderId="10" xfId="0" applyFont="1" applyFill="1" applyBorder="1" applyAlignment="1" applyProtection="1">
      <alignment horizontal="center" vertical="center" wrapText="1"/>
      <protection hidden="1"/>
    </xf>
    <xf numFmtId="0" fontId="2" fillId="7" borderId="11" xfId="0" applyFont="1" applyFill="1" applyBorder="1" applyAlignment="1" applyProtection="1">
      <alignment horizontal="center" vertical="center" wrapText="1"/>
      <protection hidden="1"/>
    </xf>
    <xf numFmtId="0" fontId="5" fillId="7" borderId="22" xfId="4" applyFont="1" applyFill="1" applyBorder="1" applyProtection="1">
      <protection hidden="1"/>
    </xf>
    <xf numFmtId="0" fontId="5" fillId="7" borderId="25" xfId="4" applyFont="1" applyFill="1" applyBorder="1" applyProtection="1">
      <protection hidden="1"/>
    </xf>
    <xf numFmtId="0" fontId="5" fillId="7" borderId="29" xfId="4" applyFont="1" applyFill="1" applyBorder="1" applyProtection="1">
      <protection hidden="1"/>
    </xf>
    <xf numFmtId="181" fontId="2" fillId="7" borderId="33" xfId="4" applyNumberFormat="1" applyFont="1" applyFill="1" applyBorder="1" applyAlignment="1" applyProtection="1">
      <alignment vertical="center"/>
      <protection hidden="1"/>
    </xf>
    <xf numFmtId="0" fontId="5" fillId="7" borderId="7" xfId="4" applyFont="1" applyFill="1" applyBorder="1" applyProtection="1">
      <protection hidden="1"/>
    </xf>
    <xf numFmtId="0" fontId="5" fillId="7" borderId="8" xfId="4" applyFont="1" applyFill="1" applyBorder="1" applyProtection="1">
      <protection hidden="1"/>
    </xf>
    <xf numFmtId="0" fontId="5" fillId="7" borderId="31" xfId="4" applyFont="1" applyFill="1" applyBorder="1" applyProtection="1">
      <protection hidden="1"/>
    </xf>
    <xf numFmtId="0" fontId="5" fillId="7" borderId="33" xfId="4" applyFont="1" applyFill="1" applyBorder="1" applyProtection="1">
      <protection hidden="1"/>
    </xf>
    <xf numFmtId="181" fontId="2" fillId="7" borderId="49" xfId="4" applyNumberFormat="1" applyFont="1" applyFill="1" applyBorder="1" applyAlignment="1" applyProtection="1">
      <alignment vertical="center"/>
      <protection hidden="1"/>
    </xf>
    <xf numFmtId="0" fontId="5" fillId="7" borderId="24" xfId="4" applyFont="1" applyFill="1" applyBorder="1" applyProtection="1">
      <protection hidden="1"/>
    </xf>
    <xf numFmtId="0" fontId="5" fillId="7" borderId="6" xfId="4" applyFont="1" applyFill="1" applyBorder="1" applyProtection="1">
      <protection hidden="1"/>
    </xf>
    <xf numFmtId="0" fontId="5" fillId="7" borderId="30" xfId="4" applyFont="1" applyFill="1" applyBorder="1" applyProtection="1">
      <protection hidden="1"/>
    </xf>
    <xf numFmtId="181" fontId="5" fillId="7" borderId="20" xfId="4" applyNumberFormat="1" applyFont="1" applyFill="1" applyBorder="1" applyAlignment="1" applyProtection="1">
      <alignment vertical="center"/>
      <protection hidden="1"/>
    </xf>
    <xf numFmtId="181" fontId="5" fillId="7" borderId="31" xfId="4" applyNumberFormat="1" applyFont="1" applyFill="1" applyBorder="1" applyAlignment="1" applyProtection="1">
      <alignment vertical="center"/>
      <protection hidden="1"/>
    </xf>
    <xf numFmtId="181" fontId="2" fillId="5" borderId="40" xfId="4" applyNumberFormat="1" applyFont="1" applyFill="1" applyBorder="1" applyAlignment="1" applyProtection="1">
      <alignment vertical="center"/>
      <protection hidden="1"/>
    </xf>
    <xf numFmtId="181" fontId="2" fillId="5" borderId="50" xfId="4" applyNumberFormat="1" applyFont="1" applyFill="1" applyBorder="1" applyAlignment="1" applyProtection="1">
      <alignment vertical="center"/>
      <protection hidden="1"/>
    </xf>
    <xf numFmtId="181" fontId="2" fillId="5" borderId="51" xfId="4" applyNumberFormat="1" applyFont="1" applyFill="1" applyBorder="1" applyAlignment="1" applyProtection="1">
      <alignment vertical="center"/>
      <protection hidden="1"/>
    </xf>
    <xf numFmtId="181" fontId="2" fillId="5" borderId="52" xfId="4" applyNumberFormat="1" applyFont="1" applyFill="1" applyBorder="1" applyAlignment="1" applyProtection="1">
      <alignment vertical="center"/>
      <protection hidden="1"/>
    </xf>
    <xf numFmtId="181" fontId="2" fillId="5" borderId="53" xfId="4" applyNumberFormat="1" applyFont="1" applyFill="1" applyBorder="1" applyAlignment="1" applyProtection="1">
      <alignment vertical="center"/>
      <protection hidden="1"/>
    </xf>
    <xf numFmtId="181" fontId="2" fillId="5" borderId="54" xfId="4" applyNumberFormat="1" applyFont="1" applyFill="1" applyBorder="1" applyAlignment="1" applyProtection="1">
      <alignment vertical="center"/>
      <protection hidden="1"/>
    </xf>
    <xf numFmtId="181" fontId="2" fillId="5" borderId="55" xfId="4" applyNumberFormat="1" applyFont="1" applyFill="1" applyBorder="1" applyAlignment="1" applyProtection="1">
      <alignment vertical="center"/>
      <protection hidden="1"/>
    </xf>
    <xf numFmtId="181" fontId="2" fillId="5" borderId="56" xfId="4" applyNumberFormat="1" applyFont="1" applyFill="1" applyBorder="1" applyAlignment="1" applyProtection="1">
      <alignment vertical="center"/>
      <protection hidden="1"/>
    </xf>
    <xf numFmtId="181" fontId="2" fillId="5" borderId="20" xfId="4" applyNumberFormat="1" applyFont="1" applyFill="1" applyBorder="1" applyAlignment="1" applyProtection="1">
      <alignment vertical="center"/>
      <protection hidden="1"/>
    </xf>
    <xf numFmtId="181" fontId="2" fillId="5" borderId="49" xfId="4" applyNumberFormat="1" applyFont="1" applyFill="1" applyBorder="1" applyAlignment="1" applyProtection="1">
      <alignment vertical="center"/>
      <protection hidden="1"/>
    </xf>
    <xf numFmtId="181" fontId="2" fillId="5" borderId="57" xfId="4" applyNumberFormat="1" applyFont="1" applyFill="1" applyBorder="1" applyAlignment="1" applyProtection="1">
      <alignment vertical="center"/>
      <protection hidden="1"/>
    </xf>
    <xf numFmtId="181" fontId="2" fillId="5" borderId="58" xfId="4" applyNumberFormat="1" applyFont="1" applyFill="1" applyBorder="1" applyAlignment="1" applyProtection="1">
      <alignment vertical="center"/>
      <protection hidden="1"/>
    </xf>
    <xf numFmtId="181" fontId="2" fillId="5" borderId="19" xfId="4" applyNumberFormat="1" applyFont="1" applyFill="1" applyBorder="1" applyAlignment="1" applyProtection="1">
      <alignment vertical="center"/>
      <protection hidden="1"/>
    </xf>
    <xf numFmtId="181" fontId="2" fillId="7" borderId="56" xfId="4" applyNumberFormat="1" applyFont="1" applyFill="1" applyBorder="1" applyAlignment="1" applyProtection="1">
      <alignment vertical="center"/>
      <protection hidden="1"/>
    </xf>
    <xf numFmtId="181" fontId="2" fillId="7" borderId="50" xfId="4" applyNumberFormat="1" applyFont="1" applyFill="1" applyBorder="1" applyAlignment="1" applyProtection="1">
      <alignment vertical="center"/>
      <protection hidden="1"/>
    </xf>
    <xf numFmtId="181" fontId="2" fillId="7" borderId="52" xfId="4" applyNumberFormat="1" applyFont="1" applyFill="1" applyBorder="1" applyAlignment="1" applyProtection="1">
      <alignment vertical="center"/>
      <protection hidden="1"/>
    </xf>
    <xf numFmtId="181" fontId="2" fillId="7" borderId="19" xfId="4" applyNumberFormat="1" applyFont="1" applyFill="1" applyBorder="1" applyAlignment="1" applyProtection="1">
      <alignment vertical="center"/>
      <protection hidden="1"/>
    </xf>
    <xf numFmtId="181" fontId="2" fillId="7" borderId="20" xfId="4" applyNumberFormat="1" applyFont="1" applyFill="1" applyBorder="1" applyAlignment="1" applyProtection="1">
      <alignment vertical="center"/>
      <protection hidden="1"/>
    </xf>
    <xf numFmtId="181" fontId="5" fillId="7" borderId="40" xfId="4" applyNumberFormat="1" applyFont="1" applyFill="1" applyBorder="1" applyAlignment="1" applyProtection="1">
      <alignment vertical="center"/>
      <protection hidden="1"/>
    </xf>
    <xf numFmtId="0" fontId="6" fillId="5" borderId="10" xfId="0" applyFont="1" applyFill="1" applyBorder="1" applyAlignment="1" applyProtection="1">
      <alignment horizontal="center" vertical="top" wrapText="1"/>
      <protection hidden="1"/>
    </xf>
    <xf numFmtId="0" fontId="6" fillId="5" borderId="7" xfId="0" applyFont="1" applyFill="1" applyBorder="1" applyAlignment="1" applyProtection="1">
      <alignment horizontal="center" vertical="top" wrapText="1"/>
      <protection hidden="1"/>
    </xf>
    <xf numFmtId="0" fontId="6" fillId="5" borderId="9" xfId="0" applyFont="1" applyFill="1" applyBorder="1" applyAlignment="1" applyProtection="1">
      <alignment horizontal="center" vertical="top" wrapText="1"/>
      <protection hidden="1"/>
    </xf>
    <xf numFmtId="0" fontId="6" fillId="5" borderId="8" xfId="0" applyFont="1" applyFill="1" applyBorder="1" applyAlignment="1" applyProtection="1">
      <alignment horizontal="center" vertical="top" wrapText="1"/>
      <protection hidden="1"/>
    </xf>
    <xf numFmtId="0" fontId="6" fillId="5" borderId="0" xfId="0" applyFont="1" applyFill="1" applyBorder="1" applyAlignment="1" applyProtection="1">
      <alignment horizontal="center" vertical="top" wrapText="1"/>
      <protection hidden="1"/>
    </xf>
    <xf numFmtId="0" fontId="6" fillId="5" borderId="6" xfId="0" applyFont="1" applyFill="1" applyBorder="1" applyAlignment="1" applyProtection="1">
      <alignment horizontal="center" vertical="top" wrapText="1"/>
      <protection hidden="1"/>
    </xf>
    <xf numFmtId="0" fontId="6" fillId="5" borderId="12" xfId="0" applyFont="1" applyFill="1" applyBorder="1" applyAlignment="1" applyProtection="1">
      <alignment horizontal="center" vertical="top" wrapText="1"/>
      <protection hidden="1"/>
    </xf>
    <xf numFmtId="0" fontId="24" fillId="7" borderId="6" xfId="0" applyFont="1" applyFill="1" applyBorder="1" applyAlignment="1" applyProtection="1">
      <alignment horizontal="center" vertical="top" wrapText="1"/>
      <protection hidden="1"/>
    </xf>
    <xf numFmtId="0" fontId="24" fillId="7" borderId="7" xfId="0" applyFont="1" applyFill="1" applyBorder="1" applyAlignment="1" applyProtection="1">
      <alignment horizontal="center" vertical="top" wrapText="1"/>
      <protection hidden="1"/>
    </xf>
    <xf numFmtId="0" fontId="24" fillId="7" borderId="8" xfId="0" applyFont="1" applyFill="1" applyBorder="1" applyAlignment="1" applyProtection="1">
      <alignment horizontal="center" vertical="top" wrapText="1"/>
      <protection hidden="1"/>
    </xf>
    <xf numFmtId="0" fontId="13" fillId="5" borderId="26" xfId="4" applyFont="1" applyFill="1" applyBorder="1" applyAlignment="1" applyProtection="1">
      <alignment vertical="center"/>
      <protection hidden="1"/>
    </xf>
    <xf numFmtId="0" fontId="5" fillId="5" borderId="12" xfId="4" applyFont="1" applyFill="1" applyBorder="1" applyAlignment="1" applyProtection="1">
      <alignment vertical="center"/>
      <protection hidden="1"/>
    </xf>
    <xf numFmtId="0" fontId="5" fillId="5" borderId="12" xfId="0" applyFont="1" applyFill="1" applyBorder="1" applyAlignment="1" applyProtection="1">
      <alignment vertical="center"/>
      <protection hidden="1"/>
    </xf>
    <xf numFmtId="0" fontId="13" fillId="5" borderId="12" xfId="4" applyFont="1" applyFill="1" applyBorder="1" applyAlignment="1" applyProtection="1">
      <alignment horizontal="left" vertical="center" indent="1"/>
      <protection hidden="1"/>
    </xf>
    <xf numFmtId="0" fontId="5" fillId="7" borderId="0" xfId="4" applyFont="1" applyFill="1" applyBorder="1" applyProtection="1">
      <protection hidden="1"/>
    </xf>
    <xf numFmtId="0" fontId="5" fillId="5" borderId="12" xfId="0" applyFont="1" applyFill="1" applyBorder="1" applyAlignment="1" applyProtection="1">
      <protection hidden="1"/>
    </xf>
    <xf numFmtId="0" fontId="2" fillId="5" borderId="60" xfId="4" applyFont="1" applyFill="1" applyBorder="1" applyAlignment="1" applyProtection="1">
      <alignment horizontal="left" vertical="center" indent="1"/>
      <protection hidden="1"/>
    </xf>
    <xf numFmtId="0" fontId="2" fillId="5" borderId="26" xfId="4" applyFont="1" applyFill="1" applyBorder="1" applyAlignment="1" applyProtection="1">
      <alignment horizontal="left" vertical="center" indent="1"/>
      <protection hidden="1"/>
    </xf>
    <xf numFmtId="0" fontId="13" fillId="5" borderId="12" xfId="4" applyFont="1" applyFill="1" applyBorder="1" applyAlignment="1" applyProtection="1">
      <alignment horizontal="left" vertical="center" indent="3"/>
      <protection hidden="1"/>
    </xf>
    <xf numFmtId="0" fontId="25" fillId="5" borderId="12" xfId="4" applyFont="1" applyFill="1" applyBorder="1" applyAlignment="1" applyProtection="1">
      <alignment horizontal="left" vertical="center" indent="4"/>
      <protection hidden="1"/>
    </xf>
    <xf numFmtId="0" fontId="2" fillId="5" borderId="18" xfId="4" applyFont="1" applyFill="1" applyBorder="1" applyAlignment="1" applyProtection="1">
      <alignment horizontal="left" vertical="center" indent="3"/>
      <protection hidden="1"/>
    </xf>
    <xf numFmtId="0" fontId="2" fillId="5" borderId="12" xfId="4" applyFont="1" applyFill="1" applyBorder="1" applyAlignment="1" applyProtection="1">
      <alignment horizontal="left" vertical="center" indent="1"/>
      <protection hidden="1"/>
    </xf>
    <xf numFmtId="0" fontId="26" fillId="5" borderId="12" xfId="4" applyFont="1" applyFill="1" applyBorder="1" applyAlignment="1" applyProtection="1">
      <alignment horizontal="left" vertical="center" indent="4"/>
      <protection hidden="1"/>
    </xf>
    <xf numFmtId="0" fontId="25" fillId="5" borderId="12" xfId="4" applyFont="1" applyFill="1" applyBorder="1" applyAlignment="1" applyProtection="1">
      <alignment horizontal="left" vertical="center" indent="5"/>
      <protection hidden="1"/>
    </xf>
    <xf numFmtId="0" fontId="2" fillId="5" borderId="12" xfId="4" applyFont="1" applyFill="1" applyBorder="1" applyAlignment="1" applyProtection="1">
      <alignment horizontal="left" vertical="center" indent="3"/>
      <protection hidden="1"/>
    </xf>
    <xf numFmtId="181" fontId="5" fillId="7" borderId="0" xfId="4" applyNumberFormat="1" applyFont="1" applyFill="1" applyBorder="1" applyProtection="1">
      <protection hidden="1"/>
    </xf>
    <xf numFmtId="0" fontId="2" fillId="5" borderId="0" xfId="0" applyNumberFormat="1" applyFont="1" applyFill="1" applyBorder="1" applyAlignment="1" applyProtection="1">
      <protection hidden="1"/>
    </xf>
    <xf numFmtId="0" fontId="9" fillId="5" borderId="0" xfId="0" applyFont="1" applyFill="1" applyBorder="1" applyAlignment="1" applyProtection="1">
      <protection hidden="1"/>
    </xf>
    <xf numFmtId="0" fontId="9" fillId="5" borderId="11" xfId="0" applyFont="1" applyFill="1" applyBorder="1" applyAlignment="1" applyProtection="1"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Fill="1" applyAlignment="1" applyProtection="1"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5" fillId="5" borderId="0" xfId="0" applyFont="1" applyFill="1" applyBorder="1" applyProtection="1">
      <protection hidden="1"/>
    </xf>
    <xf numFmtId="172" fontId="5" fillId="5" borderId="0" xfId="0" applyNumberFormat="1" applyFont="1" applyFill="1" applyBorder="1" applyAlignment="1" applyProtection="1">
      <alignment horizontal="center"/>
      <protection hidden="1"/>
    </xf>
    <xf numFmtId="177" fontId="2" fillId="5" borderId="50" xfId="0" applyNumberFormat="1" applyFont="1" applyFill="1" applyBorder="1" applyAlignment="1" applyProtection="1">
      <alignment vertical="center"/>
      <protection hidden="1"/>
    </xf>
    <xf numFmtId="177" fontId="2" fillId="5" borderId="62" xfId="0" applyNumberFormat="1" applyFont="1" applyFill="1" applyBorder="1" applyAlignment="1" applyProtection="1">
      <alignment vertical="center"/>
      <protection hidden="1"/>
    </xf>
    <xf numFmtId="172" fontId="2" fillId="5" borderId="63" xfId="0" applyNumberFormat="1" applyFont="1" applyFill="1" applyBorder="1" applyAlignment="1" applyProtection="1">
      <alignment horizontal="center" vertical="center"/>
      <protection hidden="1"/>
    </xf>
    <xf numFmtId="172" fontId="5" fillId="0" borderId="0" xfId="0" applyNumberFormat="1" applyFont="1" applyFill="1" applyProtection="1">
      <protection hidden="1"/>
    </xf>
    <xf numFmtId="176" fontId="6" fillId="0" borderId="7" xfId="0" applyNumberFormat="1" applyFont="1" applyFill="1" applyBorder="1" applyAlignment="1"/>
    <xf numFmtId="176" fontId="6" fillId="0" borderId="13" xfId="0" applyNumberFormat="1" applyFont="1" applyFill="1" applyBorder="1" applyAlignment="1">
      <alignment vertical="center"/>
    </xf>
    <xf numFmtId="0" fontId="7" fillId="0" borderId="0" xfId="0" applyFont="1"/>
    <xf numFmtId="176" fontId="7" fillId="0" borderId="7" xfId="0" applyNumberFormat="1" applyFont="1" applyFill="1" applyBorder="1" applyAlignment="1"/>
    <xf numFmtId="0" fontId="7" fillId="0" borderId="7" xfId="0" applyFont="1" applyBorder="1"/>
    <xf numFmtId="176" fontId="6" fillId="0" borderId="0" xfId="5" applyNumberFormat="1" applyFont="1" applyFill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4" xfId="8" quotePrefix="1" applyFont="1" applyBorder="1" applyAlignment="1">
      <alignment horizontal="center" vertical="center"/>
    </xf>
    <xf numFmtId="0" fontId="6" fillId="0" borderId="28" xfId="8" quotePrefix="1" applyFont="1" applyBorder="1" applyAlignment="1">
      <alignment horizontal="center" vertical="center"/>
    </xf>
    <xf numFmtId="176" fontId="7" fillId="0" borderId="9" xfId="0" applyNumberFormat="1" applyFont="1" applyFill="1" applyBorder="1" applyAlignment="1"/>
    <xf numFmtId="0" fontId="6" fillId="0" borderId="64" xfId="0" quotePrefix="1" applyFont="1" applyBorder="1" applyAlignment="1">
      <alignment horizontal="center" vertical="center"/>
    </xf>
    <xf numFmtId="176" fontId="6" fillId="0" borderId="13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indent="1"/>
    </xf>
    <xf numFmtId="176" fontId="7" fillId="0" borderId="0" xfId="0" applyNumberFormat="1" applyFont="1" applyBorder="1"/>
    <xf numFmtId="0" fontId="7" fillId="0" borderId="0" xfId="0" applyFont="1" applyBorder="1"/>
    <xf numFmtId="176" fontId="6" fillId="0" borderId="5" xfId="0" applyNumberFormat="1" applyFont="1" applyBorder="1"/>
    <xf numFmtId="176" fontId="6" fillId="0" borderId="7" xfId="0" applyNumberFormat="1" applyFont="1" applyBorder="1"/>
    <xf numFmtId="176" fontId="6" fillId="0" borderId="2" xfId="0" applyNumberFormat="1" applyFont="1" applyBorder="1"/>
    <xf numFmtId="0" fontId="7" fillId="0" borderId="8" xfId="0" applyFont="1" applyBorder="1"/>
    <xf numFmtId="0" fontId="6" fillId="0" borderId="8" xfId="0" applyFont="1" applyBorder="1" applyAlignment="1">
      <alignment horizontal="center" vertical="center"/>
    </xf>
    <xf numFmtId="0" fontId="6" fillId="0" borderId="29" xfId="8" quotePrefix="1" applyFont="1" applyBorder="1" applyAlignment="1">
      <alignment horizontal="center" vertical="center"/>
    </xf>
    <xf numFmtId="172" fontId="7" fillId="0" borderId="0" xfId="0" applyNumberFormat="1" applyFont="1" applyFill="1" applyProtection="1">
      <protection hidden="1"/>
    </xf>
    <xf numFmtId="0" fontId="7" fillId="0" borderId="0" xfId="10" applyFont="1" applyFill="1" applyBorder="1" applyProtection="1">
      <protection hidden="1"/>
    </xf>
    <xf numFmtId="178" fontId="7" fillId="0" borderId="0" xfId="0" applyNumberFormat="1" applyFont="1" applyFill="1" applyAlignment="1" applyProtection="1">
      <alignment horizontal="center"/>
      <protection hidden="1"/>
    </xf>
    <xf numFmtId="178" fontId="7" fillId="0" borderId="7" xfId="0" applyNumberFormat="1" applyFont="1" applyFill="1" applyBorder="1" applyAlignment="1" applyProtection="1">
      <alignment horizontal="center"/>
      <protection hidden="1"/>
    </xf>
    <xf numFmtId="172" fontId="2" fillId="5" borderId="25" xfId="0" applyNumberFormat="1" applyFont="1" applyFill="1" applyBorder="1" applyAlignment="1" applyProtection="1">
      <alignment horizontal="center" vertical="top" wrapText="1"/>
      <protection hidden="1"/>
    </xf>
    <xf numFmtId="0" fontId="6" fillId="0" borderId="0" xfId="0" applyFont="1" applyBorder="1" applyAlignment="1">
      <alignment horizontal="center" vertical="center"/>
    </xf>
    <xf numFmtId="0" fontId="7" fillId="0" borderId="21" xfId="0" applyFont="1" applyBorder="1"/>
    <xf numFmtId="0" fontId="7" fillId="0" borderId="10" xfId="0" applyFont="1" applyBorder="1"/>
    <xf numFmtId="175" fontId="7" fillId="0" borderId="10" xfId="0" applyNumberFormat="1" applyFont="1" applyBorder="1"/>
    <xf numFmtId="0" fontId="7" fillId="0" borderId="34" xfId="0" applyFont="1" applyBorder="1"/>
    <xf numFmtId="175" fontId="7" fillId="0" borderId="3" xfId="0" applyNumberFormat="1" applyFont="1" applyBorder="1"/>
    <xf numFmtId="0" fontId="7" fillId="0" borderId="23" xfId="0" applyFont="1" applyBorder="1"/>
    <xf numFmtId="0" fontId="7" fillId="0" borderId="11" xfId="0" applyFont="1" applyBorder="1"/>
    <xf numFmtId="0" fontId="6" fillId="0" borderId="11" xfId="0" applyFont="1" applyBorder="1" applyAlignment="1">
      <alignment horizontal="left" vertical="center" indent="1"/>
    </xf>
    <xf numFmtId="0" fontId="7" fillId="0" borderId="46" xfId="0" applyFont="1" applyFill="1" applyBorder="1" applyAlignment="1">
      <alignment horizontal="left" indent="1"/>
    </xf>
    <xf numFmtId="0" fontId="7" fillId="0" borderId="11" xfId="0" applyFont="1" applyFill="1" applyBorder="1" applyAlignment="1">
      <alignment horizontal="left" indent="1"/>
    </xf>
    <xf numFmtId="0" fontId="7" fillId="0" borderId="11" xfId="8" applyNumberFormat="1" applyFont="1" applyBorder="1" applyAlignment="1" applyProtection="1">
      <alignment horizontal="left" indent="1"/>
    </xf>
    <xf numFmtId="0" fontId="6" fillId="0" borderId="17" xfId="0" applyFont="1" applyFill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6" fillId="0" borderId="0" xfId="0" applyFont="1" applyAlignment="1">
      <alignment vertical="center"/>
    </xf>
    <xf numFmtId="172" fontId="5" fillId="5" borderId="0" xfId="4" applyNumberFormat="1" applyFont="1" applyFill="1" applyBorder="1" applyAlignment="1" applyProtection="1">
      <protection hidden="1"/>
    </xf>
    <xf numFmtId="0" fontId="5" fillId="5" borderId="0" xfId="4" applyFont="1" applyFill="1" applyBorder="1" applyAlignment="1" applyProtection="1">
      <alignment vertical="top"/>
      <protection hidden="1"/>
    </xf>
    <xf numFmtId="0" fontId="5" fillId="5" borderId="2" xfId="4" applyFont="1" applyFill="1" applyBorder="1" applyAlignment="1" applyProtection="1">
      <alignment vertical="top"/>
      <protection hidden="1"/>
    </xf>
    <xf numFmtId="0" fontId="2" fillId="6" borderId="9" xfId="0" applyFont="1" applyFill="1" applyBorder="1" applyAlignment="1" applyProtection="1">
      <alignment horizontal="centerContinuous"/>
      <protection hidden="1"/>
    </xf>
    <xf numFmtId="172" fontId="2" fillId="6" borderId="0" xfId="0" applyNumberFormat="1" applyFont="1" applyFill="1" applyBorder="1" applyAlignment="1" applyProtection="1">
      <alignment vertical="center" wrapText="1"/>
      <protection hidden="1"/>
    </xf>
    <xf numFmtId="172" fontId="5" fillId="6" borderId="0" xfId="0" applyNumberFormat="1" applyFont="1" applyFill="1" applyBorder="1" applyAlignme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17" fillId="4" borderId="9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Protection="1">
      <protection hidden="1"/>
    </xf>
    <xf numFmtId="0" fontId="17" fillId="4" borderId="64" xfId="0" applyFont="1" applyFill="1" applyBorder="1" applyAlignment="1" applyProtection="1">
      <alignment horizontal="left" vertical="center"/>
      <protection hidden="1"/>
    </xf>
    <xf numFmtId="0" fontId="5" fillId="2" borderId="0" xfId="0" applyFont="1" applyFill="1" applyBorder="1" applyAlignment="1" applyProtection="1">
      <protection hidden="1"/>
    </xf>
    <xf numFmtId="0" fontId="5" fillId="5" borderId="0" xfId="0" applyFont="1" applyFill="1" applyProtection="1">
      <protection hidden="1"/>
    </xf>
    <xf numFmtId="0" fontId="5" fillId="5" borderId="0" xfId="0" applyFont="1" applyFill="1" applyAlignment="1" applyProtection="1">
      <protection hidden="1"/>
    </xf>
    <xf numFmtId="0" fontId="2" fillId="5" borderId="0" xfId="0" applyFont="1" applyFill="1" applyBorder="1" applyAlignment="1" applyProtection="1">
      <alignment horizontal="left" vertical="center" indent="1"/>
      <protection hidden="1"/>
    </xf>
    <xf numFmtId="0" fontId="5" fillId="5" borderId="0" xfId="0" applyFont="1" applyFill="1" applyBorder="1" applyAlignment="1" applyProtection="1">
      <alignment vertical="center"/>
      <protection hidden="1"/>
    </xf>
    <xf numFmtId="0" fontId="5" fillId="5" borderId="0" xfId="0" applyFont="1" applyFill="1" applyBorder="1" applyAlignment="1" applyProtection="1">
      <protection hidden="1"/>
    </xf>
    <xf numFmtId="172" fontId="5" fillId="5" borderId="0" xfId="0" applyNumberFormat="1" applyFont="1" applyFill="1" applyBorder="1" applyAlignment="1" applyProtection="1">
      <protection hidden="1"/>
    </xf>
    <xf numFmtId="0" fontId="5" fillId="5" borderId="0" xfId="0" applyNumberFormat="1" applyFont="1" applyFill="1" applyBorder="1" applyAlignment="1" applyProtection="1">
      <protection hidden="1"/>
    </xf>
    <xf numFmtId="172" fontId="2" fillId="5" borderId="2" xfId="0" applyNumberFormat="1" applyFont="1" applyFill="1" applyBorder="1" applyAlignment="1" applyProtection="1">
      <alignment horizontal="center" vertical="center"/>
      <protection hidden="1"/>
    </xf>
    <xf numFmtId="172" fontId="5" fillId="5" borderId="0" xfId="4" applyNumberFormat="1" applyFont="1" applyFill="1" applyBorder="1" applyAlignment="1" applyProtection="1">
      <alignment vertical="center"/>
      <protection hidden="1"/>
    </xf>
    <xf numFmtId="0" fontId="8" fillId="5" borderId="0" xfId="0" applyFont="1" applyFill="1" applyProtection="1">
      <protection hidden="1"/>
    </xf>
    <xf numFmtId="183" fontId="2" fillId="4" borderId="29" xfId="0" applyNumberFormat="1" applyFont="1" applyFill="1" applyBorder="1" applyAlignment="1" applyProtection="1">
      <alignment vertical="center"/>
      <protection hidden="1"/>
    </xf>
    <xf numFmtId="183" fontId="2" fillId="4" borderId="50" xfId="0" applyNumberFormat="1" applyFont="1" applyFill="1" applyBorder="1" applyAlignment="1" applyProtection="1">
      <alignment vertical="center"/>
      <protection hidden="1"/>
    </xf>
    <xf numFmtId="183" fontId="2" fillId="4" borderId="52" xfId="0" applyNumberFormat="1" applyFont="1" applyFill="1" applyBorder="1" applyAlignment="1" applyProtection="1">
      <alignment vertical="center"/>
      <protection hidden="1"/>
    </xf>
    <xf numFmtId="0" fontId="7" fillId="0" borderId="0" xfId="0" applyFont="1" applyFill="1" applyBorder="1" applyAlignment="1">
      <alignment horizontal="left" indent="1"/>
    </xf>
    <xf numFmtId="0" fontId="7" fillId="0" borderId="0" xfId="8" applyNumberFormat="1" applyFont="1" applyBorder="1" applyAlignment="1" applyProtection="1">
      <alignment horizontal="left" indent="1"/>
    </xf>
    <xf numFmtId="0" fontId="5" fillId="4" borderId="0" xfId="0" applyFont="1" applyFill="1" applyBorder="1" applyAlignment="1" applyProtection="1">
      <alignment vertical="center"/>
      <protection hidden="1"/>
    </xf>
    <xf numFmtId="0" fontId="27" fillId="4" borderId="0" xfId="0" applyFont="1" applyFill="1" applyBorder="1" applyAlignment="1" applyProtection="1">
      <alignment horizontal="center" vertical="center"/>
      <protection hidden="1"/>
    </xf>
    <xf numFmtId="0" fontId="4" fillId="5" borderId="0" xfId="0" applyFont="1" applyFill="1" applyProtection="1">
      <protection hidden="1"/>
    </xf>
    <xf numFmtId="0" fontId="11" fillId="4" borderId="0" xfId="0" applyFont="1" applyFill="1" applyBorder="1" applyAlignment="1" applyProtection="1">
      <alignment horizontal="left"/>
      <protection hidden="1"/>
    </xf>
    <xf numFmtId="0" fontId="5" fillId="4" borderId="0" xfId="0" applyFont="1" applyFill="1" applyBorder="1" applyProtection="1">
      <protection hidden="1"/>
    </xf>
    <xf numFmtId="0" fontId="5" fillId="4" borderId="0" xfId="0" applyFont="1" applyFill="1" applyBorder="1" applyAlignment="1" applyProtection="1">
      <alignment horizontal="right"/>
      <protection hidden="1"/>
    </xf>
    <xf numFmtId="0" fontId="2" fillId="4" borderId="33" xfId="0" applyFont="1" applyFill="1" applyBorder="1" applyAlignment="1" applyProtection="1">
      <alignment horizontal="center" vertical="top" wrapText="1"/>
      <protection hidden="1"/>
    </xf>
    <xf numFmtId="184" fontId="5" fillId="0" borderId="43" xfId="0" applyNumberFormat="1" applyFont="1" applyFill="1" applyBorder="1" applyAlignment="1" applyProtection="1">
      <alignment vertical="center"/>
      <protection locked="0"/>
    </xf>
    <xf numFmtId="184" fontId="5" fillId="0" borderId="28" xfId="0" applyNumberFormat="1" applyFont="1" applyFill="1" applyBorder="1" applyAlignment="1" applyProtection="1">
      <alignment vertical="center"/>
      <protection locked="0"/>
    </xf>
    <xf numFmtId="0" fontId="28" fillId="5" borderId="0" xfId="0" applyFont="1" applyFill="1" applyAlignment="1" applyProtection="1">
      <alignment vertical="center"/>
      <protection hidden="1"/>
    </xf>
    <xf numFmtId="0" fontId="27" fillId="5" borderId="0" xfId="0" applyFont="1" applyFill="1" applyBorder="1" applyAlignment="1" applyProtection="1">
      <alignment horizontal="center" vertical="center"/>
      <protection hidden="1"/>
    </xf>
    <xf numFmtId="0" fontId="2" fillId="4" borderId="9" xfId="0" applyFont="1" applyFill="1" applyBorder="1" applyAlignment="1" applyProtection="1">
      <protection hidden="1"/>
    </xf>
    <xf numFmtId="0" fontId="5" fillId="4" borderId="24" xfId="0" applyFont="1" applyFill="1" applyBorder="1" applyAlignment="1" applyProtection="1">
      <protection hidden="1"/>
    </xf>
    <xf numFmtId="0" fontId="2" fillId="4" borderId="6" xfId="0" applyFont="1" applyFill="1" applyBorder="1" applyAlignment="1" applyProtection="1">
      <alignment horizontal="left" vertical="center" indent="2"/>
      <protection hidden="1"/>
    </xf>
    <xf numFmtId="0" fontId="5" fillId="4" borderId="6" xfId="0" applyFont="1" applyFill="1" applyBorder="1" applyAlignment="1" applyProtection="1">
      <alignment horizontal="left" vertical="center" indent="3"/>
      <protection hidden="1"/>
    </xf>
    <xf numFmtId="0" fontId="2" fillId="4" borderId="6" xfId="0" applyFont="1" applyFill="1" applyBorder="1" applyAlignment="1" applyProtection="1">
      <alignment horizontal="left" vertical="center" indent="3"/>
      <protection hidden="1"/>
    </xf>
    <xf numFmtId="0" fontId="5" fillId="4" borderId="6" xfId="0" applyFont="1" applyFill="1" applyBorder="1" applyAlignment="1" applyProtection="1">
      <alignment horizontal="left" vertical="center" wrapText="1" indent="4"/>
      <protection hidden="1"/>
    </xf>
    <xf numFmtId="0" fontId="2" fillId="4" borderId="6" xfId="0" applyFont="1" applyFill="1" applyBorder="1" applyAlignment="1" applyProtection="1">
      <alignment horizontal="left" vertical="center" wrapText="1" indent="3"/>
      <protection hidden="1"/>
    </xf>
    <xf numFmtId="0" fontId="8" fillId="5" borderId="0" xfId="0" applyFont="1" applyFill="1" applyBorder="1" applyAlignment="1" applyProtection="1">
      <protection hidden="1"/>
    </xf>
    <xf numFmtId="0" fontId="5" fillId="4" borderId="67" xfId="0" applyFont="1" applyFill="1" applyBorder="1" applyAlignment="1" applyProtection="1">
      <alignment vertical="center"/>
      <protection hidden="1"/>
    </xf>
    <xf numFmtId="0" fontId="2" fillId="4" borderId="1" xfId="0" applyFont="1" applyFill="1" applyBorder="1" applyAlignment="1" applyProtection="1">
      <alignment vertical="center"/>
      <protection hidden="1"/>
    </xf>
    <xf numFmtId="0" fontId="17" fillId="4" borderId="9" xfId="0" applyFont="1" applyFill="1" applyBorder="1" applyAlignment="1" applyProtection="1">
      <protection hidden="1"/>
    </xf>
    <xf numFmtId="0" fontId="5" fillId="4" borderId="0" xfId="0" applyFont="1" applyFill="1" applyBorder="1" applyAlignment="1" applyProtection="1">
      <alignment horizontal="left" indent="2"/>
      <protection hidden="1"/>
    </xf>
    <xf numFmtId="0" fontId="5" fillId="4" borderId="2" xfId="0" applyFont="1" applyFill="1" applyBorder="1" applyAlignment="1" applyProtection="1">
      <protection hidden="1"/>
    </xf>
    <xf numFmtId="0" fontId="5" fillId="5" borderId="0" xfId="0" applyFont="1" applyFill="1" applyBorder="1" applyAlignment="1" applyProtection="1">
      <alignment horizontal="left" indent="2"/>
      <protection hidden="1"/>
    </xf>
    <xf numFmtId="0" fontId="5" fillId="4" borderId="2" xfId="0" applyFont="1" applyFill="1" applyBorder="1" applyAlignment="1" applyProtection="1">
      <alignment vertical="center"/>
      <protection hidden="1"/>
    </xf>
    <xf numFmtId="0" fontId="5" fillId="4" borderId="6" xfId="0" applyFont="1" applyFill="1" applyBorder="1" applyAlignment="1" applyProtection="1">
      <alignment vertical="center" wrapText="1"/>
      <protection hidden="1"/>
    </xf>
    <xf numFmtId="0" fontId="5" fillId="4" borderId="1" xfId="0" applyFont="1" applyFill="1" applyBorder="1" applyProtection="1">
      <protection hidden="1"/>
    </xf>
    <xf numFmtId="0" fontId="5" fillId="4" borderId="11" xfId="0" applyFont="1" applyFill="1" applyBorder="1" applyProtection="1">
      <protection hidden="1"/>
    </xf>
    <xf numFmtId="0" fontId="5" fillId="4" borderId="2" xfId="0" applyFont="1" applyFill="1" applyBorder="1" applyProtection="1">
      <protection hidden="1"/>
    </xf>
    <xf numFmtId="169" fontId="5" fillId="4" borderId="0" xfId="0" applyNumberFormat="1" applyFont="1" applyFill="1" applyBorder="1" applyAlignment="1" applyProtection="1">
      <alignment vertical="center"/>
      <protection hidden="1"/>
    </xf>
    <xf numFmtId="169" fontId="5" fillId="4" borderId="2" xfId="0" applyNumberFormat="1" applyFont="1" applyFill="1" applyBorder="1" applyAlignment="1" applyProtection="1">
      <alignment vertical="center"/>
      <protection hidden="1"/>
    </xf>
    <xf numFmtId="169" fontId="5" fillId="4" borderId="11" xfId="0" applyNumberFormat="1" applyFont="1" applyFill="1" applyBorder="1" applyAlignment="1" applyProtection="1">
      <alignment vertical="center"/>
      <protection hidden="1"/>
    </xf>
    <xf numFmtId="169" fontId="5" fillId="4" borderId="67" xfId="0" applyNumberFormat="1" applyFont="1" applyFill="1" applyBorder="1" applyAlignment="1" applyProtection="1">
      <alignment vertical="center"/>
      <protection hidden="1"/>
    </xf>
    <xf numFmtId="170" fontId="5" fillId="4" borderId="11" xfId="0" applyNumberFormat="1" applyFont="1" applyFill="1" applyBorder="1" applyAlignment="1" applyProtection="1">
      <alignment vertical="center"/>
      <protection hidden="1"/>
    </xf>
    <xf numFmtId="0" fontId="2" fillId="4" borderId="6" xfId="0" applyFont="1" applyFill="1" applyBorder="1" applyAlignment="1" applyProtection="1">
      <alignment vertical="center" wrapText="1"/>
      <protection hidden="1"/>
    </xf>
    <xf numFmtId="0" fontId="5" fillId="4" borderId="6" xfId="0" applyFont="1" applyFill="1" applyBorder="1" applyAlignment="1" applyProtection="1">
      <protection hidden="1"/>
    </xf>
    <xf numFmtId="169" fontId="5" fillId="4" borderId="61" xfId="0" applyNumberFormat="1" applyFont="1" applyFill="1" applyBorder="1" applyAlignment="1" applyProtection="1">
      <alignment vertical="center"/>
      <protection hidden="1"/>
    </xf>
    <xf numFmtId="169" fontId="5" fillId="4" borderId="43" xfId="0" applyNumberFormat="1" applyFont="1" applyFill="1" applyBorder="1" applyAlignment="1" applyProtection="1">
      <alignment vertical="center"/>
      <protection hidden="1"/>
    </xf>
    <xf numFmtId="169" fontId="5" fillId="4" borderId="38" xfId="0" applyNumberFormat="1" applyFont="1" applyFill="1" applyBorder="1" applyAlignment="1" applyProtection="1">
      <alignment vertical="center"/>
      <protection hidden="1"/>
    </xf>
    <xf numFmtId="0" fontId="2" fillId="3" borderId="0" xfId="9" applyFont="1" applyFill="1" applyBorder="1" applyAlignment="1" applyProtection="1">
      <alignment horizontal="centerContinuous" vertical="center"/>
      <protection hidden="1"/>
    </xf>
    <xf numFmtId="0" fontId="5" fillId="4" borderId="61" xfId="0" applyFont="1" applyFill="1" applyBorder="1" applyAlignment="1" applyProtection="1">
      <alignment vertical="center"/>
      <protection hidden="1"/>
    </xf>
    <xf numFmtId="179" fontId="5" fillId="0" borderId="32" xfId="0" applyNumberFormat="1" applyFont="1" applyFill="1" applyBorder="1" applyAlignment="1" applyProtection="1">
      <alignment vertical="center"/>
      <protection locked="0"/>
    </xf>
    <xf numFmtId="179" fontId="5" fillId="0" borderId="31" xfId="0" applyNumberFormat="1" applyFont="1" applyFill="1" applyBorder="1" applyAlignment="1" applyProtection="1">
      <alignment vertical="center"/>
      <protection locked="0"/>
    </xf>
    <xf numFmtId="179" fontId="5" fillId="0" borderId="1" xfId="0" applyNumberFormat="1" applyFont="1" applyFill="1" applyBorder="1" applyAlignment="1" applyProtection="1">
      <alignment vertical="center"/>
      <protection locked="0"/>
    </xf>
    <xf numFmtId="179" fontId="5" fillId="0" borderId="5" xfId="0" applyNumberFormat="1" applyFont="1" applyFill="1" applyBorder="1" applyAlignment="1" applyProtection="1">
      <alignment vertical="center"/>
      <protection locked="0"/>
    </xf>
    <xf numFmtId="179" fontId="5" fillId="0" borderId="53" xfId="0" applyNumberFormat="1" applyFont="1" applyFill="1" applyBorder="1" applyAlignment="1" applyProtection="1">
      <alignment vertical="center"/>
      <protection locked="0"/>
    </xf>
    <xf numFmtId="179" fontId="5" fillId="0" borderId="50" xfId="0" applyNumberFormat="1" applyFont="1" applyFill="1" applyBorder="1" applyAlignment="1" applyProtection="1">
      <alignment vertical="center"/>
      <protection locked="0"/>
    </xf>
    <xf numFmtId="181" fontId="2" fillId="4" borderId="32" xfId="0" applyNumberFormat="1" applyFont="1" applyFill="1" applyBorder="1" applyAlignment="1" applyProtection="1">
      <alignment vertical="center"/>
      <protection hidden="1"/>
    </xf>
    <xf numFmtId="181" fontId="2" fillId="4" borderId="33" xfId="0" applyNumberFormat="1" applyFont="1" applyFill="1" applyBorder="1" applyAlignment="1" applyProtection="1">
      <alignment vertical="center"/>
      <protection hidden="1"/>
    </xf>
    <xf numFmtId="181" fontId="2" fillId="4" borderId="4" xfId="0" applyNumberFormat="1" applyFont="1" applyFill="1" applyBorder="1" applyAlignment="1" applyProtection="1">
      <alignment vertical="center"/>
      <protection hidden="1"/>
    </xf>
    <xf numFmtId="181" fontId="2" fillId="4" borderId="52" xfId="0" applyNumberFormat="1" applyFont="1" applyFill="1" applyBorder="1" applyAlignment="1" applyProtection="1">
      <alignment vertical="center"/>
      <protection hidden="1"/>
    </xf>
    <xf numFmtId="181" fontId="2" fillId="4" borderId="31" xfId="0" applyNumberFormat="1" applyFont="1" applyFill="1" applyBorder="1" applyAlignment="1" applyProtection="1">
      <alignment vertical="center"/>
      <protection hidden="1"/>
    </xf>
    <xf numFmtId="0" fontId="8" fillId="5" borderId="0" xfId="0" applyFont="1" applyFill="1" applyAlignment="1" applyProtection="1">
      <protection hidden="1"/>
    </xf>
    <xf numFmtId="0" fontId="2" fillId="4" borderId="67" xfId="0" applyFont="1" applyFill="1" applyBorder="1" applyAlignment="1" applyProtection="1">
      <alignment horizontal="center"/>
      <protection hidden="1"/>
    </xf>
    <xf numFmtId="0" fontId="6" fillId="0" borderId="0" xfId="0" applyFont="1" applyAlignment="1">
      <alignment horizontal="left" vertical="center" indent="1"/>
    </xf>
    <xf numFmtId="0" fontId="6" fillId="0" borderId="60" xfId="0" applyFont="1" applyBorder="1" applyAlignment="1">
      <alignment horizontal="center" vertical="center"/>
    </xf>
    <xf numFmtId="0" fontId="5" fillId="3" borderId="67" xfId="0" applyFont="1" applyFill="1" applyBorder="1" applyAlignment="1" applyProtection="1">
      <alignment vertical="center"/>
      <protection hidden="1"/>
    </xf>
    <xf numFmtId="0" fontId="2" fillId="3" borderId="67" xfId="0" applyFont="1" applyFill="1" applyBorder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horizontal="right" vertical="center" indent="1"/>
      <protection hidden="1"/>
    </xf>
    <xf numFmtId="0" fontId="5" fillId="3" borderId="0" xfId="0" applyFont="1" applyFill="1" applyBorder="1" applyAlignment="1" applyProtection="1">
      <alignment horizontal="left" vertical="center" indent="2"/>
      <protection hidden="1"/>
    </xf>
    <xf numFmtId="0" fontId="2" fillId="3" borderId="9" xfId="9" applyFont="1" applyFill="1" applyBorder="1" applyAlignment="1" applyProtection="1">
      <alignment horizontal="left" vertical="center" indent="1"/>
      <protection hidden="1"/>
    </xf>
    <xf numFmtId="0" fontId="5" fillId="3" borderId="0" xfId="0" applyFont="1" applyFill="1" applyBorder="1" applyProtection="1">
      <protection hidden="1"/>
    </xf>
    <xf numFmtId="0" fontId="5" fillId="3" borderId="2" xfId="0" applyFont="1" applyFill="1" applyBorder="1" applyProtection="1">
      <protection hidden="1"/>
    </xf>
    <xf numFmtId="0" fontId="2" fillId="3" borderId="9" xfId="0" applyFont="1" applyFill="1" applyBorder="1" applyAlignment="1" applyProtection="1">
      <alignment horizontal="left" indent="1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169" fontId="5" fillId="3" borderId="2" xfId="0" applyNumberFormat="1" applyFont="1" applyFill="1" applyBorder="1" applyProtection="1">
      <protection hidden="1"/>
    </xf>
    <xf numFmtId="169" fontId="5" fillId="2" borderId="0" xfId="0" applyNumberFormat="1" applyFont="1" applyFill="1" applyBorder="1" applyAlignment="1" applyProtection="1">
      <alignment horizontal="center"/>
      <protection hidden="1"/>
    </xf>
    <xf numFmtId="0" fontId="5" fillId="3" borderId="2" xfId="0" applyFont="1" applyFill="1" applyBorder="1" applyAlignment="1" applyProtection="1">
      <alignment horizontal="centerContinuous" vertical="center"/>
      <protection hidden="1"/>
    </xf>
    <xf numFmtId="0" fontId="5" fillId="0" borderId="0" xfId="0" applyNumberFormat="1" applyFont="1" applyFill="1" applyAlignment="1" applyProtection="1">
      <protection hidden="1"/>
    </xf>
    <xf numFmtId="168" fontId="14" fillId="2" borderId="61" xfId="0" applyNumberFormat="1" applyFont="1" applyFill="1" applyBorder="1" applyAlignment="1" applyProtection="1">
      <alignment horizontal="left" vertical="center"/>
      <protection hidden="1"/>
    </xf>
    <xf numFmtId="0" fontId="5" fillId="3" borderId="43" xfId="0" applyFont="1" applyFill="1" applyBorder="1" applyAlignment="1" applyProtection="1">
      <alignment horizontal="left" vertical="center"/>
      <protection hidden="1"/>
    </xf>
    <xf numFmtId="2" fontId="5" fillId="2" borderId="0" xfId="0" applyNumberFormat="1" applyFont="1" applyFill="1" applyBorder="1" applyAlignment="1" applyProtection="1">
      <alignment horizontal="center" vertical="center"/>
      <protection hidden="1"/>
    </xf>
    <xf numFmtId="0" fontId="6" fillId="3" borderId="28" xfId="0" applyFont="1" applyFill="1" applyBorder="1" applyAlignment="1" applyProtection="1">
      <alignment horizontal="center" vertical="top"/>
      <protection hidden="1"/>
    </xf>
    <xf numFmtId="0" fontId="2" fillId="3" borderId="8" xfId="0" applyFont="1" applyFill="1" applyBorder="1" applyAlignment="1" applyProtection="1">
      <alignment horizontal="center" vertical="center"/>
      <protection hidden="1"/>
    </xf>
    <xf numFmtId="0" fontId="6" fillId="3" borderId="29" xfId="0" applyFont="1" applyFill="1" applyBorder="1" applyAlignment="1" applyProtection="1">
      <alignment horizontal="center" vertical="top" wrapText="1"/>
      <protection hidden="1"/>
    </xf>
    <xf numFmtId="0" fontId="5" fillId="3" borderId="11" xfId="0" applyFont="1" applyFill="1" applyBorder="1" applyProtection="1">
      <protection hidden="1"/>
    </xf>
    <xf numFmtId="181" fontId="21" fillId="2" borderId="33" xfId="0" applyNumberFormat="1" applyFont="1" applyFill="1" applyBorder="1" applyAlignment="1" applyProtection="1">
      <alignment vertical="center"/>
      <protection hidden="1"/>
    </xf>
    <xf numFmtId="170" fontId="5" fillId="2" borderId="11" xfId="0" applyNumberFormat="1" applyFont="1" applyFill="1" applyBorder="1" applyAlignment="1" applyProtection="1">
      <alignment vertical="center"/>
      <protection hidden="1"/>
    </xf>
    <xf numFmtId="181" fontId="21" fillId="2" borderId="52" xfId="0" applyNumberFormat="1" applyFont="1" applyFill="1" applyBorder="1" applyAlignment="1" applyProtection="1">
      <alignment vertical="center"/>
      <protection hidden="1"/>
    </xf>
    <xf numFmtId="0" fontId="2" fillId="3" borderId="5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horizontal="center" vertical="center"/>
      <protection hidden="1"/>
    </xf>
    <xf numFmtId="169" fontId="5" fillId="3" borderId="7" xfId="0" applyNumberFormat="1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Protection="1">
      <protection hidden="1"/>
    </xf>
    <xf numFmtId="181" fontId="21" fillId="2" borderId="4" xfId="0" applyNumberFormat="1" applyFont="1" applyFill="1" applyBorder="1" applyAlignment="1" applyProtection="1">
      <alignment vertical="center"/>
      <protection hidden="1"/>
    </xf>
    <xf numFmtId="169" fontId="5" fillId="3" borderId="5" xfId="0" applyNumberFormat="1" applyFont="1" applyFill="1" applyBorder="1" applyAlignment="1" applyProtection="1">
      <alignment horizontal="center" vertical="center"/>
      <protection hidden="1"/>
    </xf>
    <xf numFmtId="169" fontId="5" fillId="3" borderId="67" xfId="0" applyNumberFormat="1" applyFont="1" applyFill="1" applyBorder="1" applyAlignment="1" applyProtection="1">
      <alignment horizontal="center" vertical="center"/>
      <protection hidden="1"/>
    </xf>
    <xf numFmtId="169" fontId="5" fillId="3" borderId="46" xfId="0" applyNumberFormat="1" applyFont="1" applyFill="1" applyBorder="1" applyAlignment="1" applyProtection="1">
      <alignment horizontal="center" vertical="center"/>
      <protection hidden="1"/>
    </xf>
    <xf numFmtId="170" fontId="5" fillId="2" borderId="7" xfId="0" applyNumberFormat="1" applyFont="1" applyFill="1" applyBorder="1" applyAlignment="1" applyProtection="1">
      <alignment vertical="center"/>
      <protection hidden="1"/>
    </xf>
    <xf numFmtId="169" fontId="5" fillId="2" borderId="0" xfId="0" applyNumberFormat="1" applyFont="1" applyFill="1" applyBorder="1" applyAlignment="1" applyProtection="1">
      <alignment vertical="center"/>
      <protection hidden="1"/>
    </xf>
    <xf numFmtId="181" fontId="2" fillId="2" borderId="50" xfId="0" applyNumberFormat="1" applyFont="1" applyFill="1" applyBorder="1" applyAlignment="1" applyProtection="1">
      <alignment vertical="center"/>
      <protection hidden="1"/>
    </xf>
    <xf numFmtId="170" fontId="5" fillId="2" borderId="61" xfId="0" applyNumberFormat="1" applyFont="1" applyFill="1" applyBorder="1" applyAlignment="1" applyProtection="1">
      <alignment horizontal="left" vertical="center"/>
      <protection hidden="1"/>
    </xf>
    <xf numFmtId="2" fontId="5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top" wrapText="1"/>
      <protection hidden="1"/>
    </xf>
    <xf numFmtId="170" fontId="5" fillId="2" borderId="5" xfId="0" applyNumberFormat="1" applyFont="1" applyFill="1" applyBorder="1" applyAlignment="1" applyProtection="1">
      <alignment vertical="center"/>
      <protection hidden="1"/>
    </xf>
    <xf numFmtId="170" fontId="5" fillId="2" borderId="67" xfId="0" applyNumberFormat="1" applyFont="1" applyFill="1" applyBorder="1" applyAlignment="1" applyProtection="1">
      <alignment vertical="center"/>
      <protection hidden="1"/>
    </xf>
    <xf numFmtId="170" fontId="5" fillId="2" borderId="46" xfId="0" applyNumberFormat="1" applyFont="1" applyFill="1" applyBorder="1" applyAlignment="1" applyProtection="1">
      <alignment vertical="center"/>
      <protection hidden="1"/>
    </xf>
    <xf numFmtId="0" fontId="7" fillId="2" borderId="31" xfId="0" applyFont="1" applyFill="1" applyBorder="1" applyAlignment="1" applyProtection="1">
      <alignment horizontal="center" vertical="center"/>
      <protection hidden="1"/>
    </xf>
    <xf numFmtId="0" fontId="6" fillId="2" borderId="31" xfId="0" applyFont="1" applyFill="1" applyBorder="1" applyAlignment="1" applyProtection="1">
      <alignment horizontal="center" vertical="center" wrapText="1"/>
      <protection hidden="1"/>
    </xf>
    <xf numFmtId="0" fontId="7" fillId="2" borderId="61" xfId="0" applyFont="1" applyFill="1" applyBorder="1" applyAlignment="1" applyProtection="1">
      <protection hidden="1"/>
    </xf>
    <xf numFmtId="0" fontId="5" fillId="2" borderId="64" xfId="0" applyFont="1" applyFill="1" applyBorder="1" applyAlignment="1" applyProtection="1">
      <protection hidden="1"/>
    </xf>
    <xf numFmtId="0" fontId="5" fillId="3" borderId="6" xfId="0" applyFont="1" applyFill="1" applyBorder="1" applyProtection="1">
      <protection hidden="1"/>
    </xf>
    <xf numFmtId="172" fontId="2" fillId="5" borderId="28" xfId="0" quotePrefix="1" applyNumberFormat="1" applyFont="1" applyFill="1" applyBorder="1" applyAlignment="1" applyProtection="1">
      <alignment horizontal="center" vertical="center"/>
      <protection hidden="1"/>
    </xf>
    <xf numFmtId="172" fontId="2" fillId="5" borderId="43" xfId="0" quotePrefix="1" applyNumberFormat="1" applyFont="1" applyFill="1" applyBorder="1" applyAlignment="1" applyProtection="1">
      <alignment horizontal="center" vertical="center"/>
      <protection hidden="1"/>
    </xf>
    <xf numFmtId="172" fontId="2" fillId="5" borderId="29" xfId="0" quotePrefix="1" applyNumberFormat="1" applyFont="1" applyFill="1" applyBorder="1" applyAlignment="1" applyProtection="1">
      <alignment horizontal="center" vertical="center"/>
      <protection hidden="1"/>
    </xf>
    <xf numFmtId="172" fontId="2" fillId="5" borderId="7" xfId="0" applyNumberFormat="1" applyFont="1" applyFill="1" applyBorder="1" applyAlignment="1" applyProtection="1">
      <alignment horizontal="center" vertical="center"/>
      <protection hidden="1"/>
    </xf>
    <xf numFmtId="172" fontId="2" fillId="5" borderId="8" xfId="0" applyNumberFormat="1" applyFont="1" applyFill="1" applyBorder="1" applyAlignment="1" applyProtection="1">
      <alignment horizontal="center" vertical="center"/>
      <protection hidden="1"/>
    </xf>
    <xf numFmtId="0" fontId="12" fillId="2" borderId="28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10" applyFont="1" applyFill="1" applyBorder="1" applyAlignment="1" applyProtection="1">
      <alignment horizontal="center"/>
      <protection hidden="1"/>
    </xf>
    <xf numFmtId="181" fontId="5" fillId="0" borderId="0" xfId="0" applyNumberFormat="1" applyFont="1" applyFill="1" applyAlignment="1" applyProtection="1">
      <alignment vertical="center"/>
      <protection hidden="1"/>
    </xf>
    <xf numFmtId="173" fontId="6" fillId="0" borderId="13" xfId="0" applyNumberFormat="1" applyFont="1" applyFill="1" applyBorder="1" applyAlignment="1">
      <alignment vertical="center"/>
    </xf>
    <xf numFmtId="0" fontId="5" fillId="5" borderId="0" xfId="0" applyFont="1" applyFill="1" applyBorder="1" applyAlignment="1" applyProtection="1">
      <alignment horizontal="center" vertical="center" wrapText="1"/>
      <protection hidden="1"/>
    </xf>
    <xf numFmtId="0" fontId="5" fillId="5" borderId="66" xfId="0" applyFont="1" applyFill="1" applyBorder="1" applyAlignment="1" applyProtection="1">
      <alignment vertical="center"/>
      <protection hidden="1"/>
    </xf>
    <xf numFmtId="0" fontId="5" fillId="5" borderId="66" xfId="0" applyFont="1" applyFill="1" applyBorder="1" applyAlignment="1" applyProtection="1">
      <protection hidden="1"/>
    </xf>
    <xf numFmtId="176" fontId="2" fillId="5" borderId="5" xfId="0" applyNumberFormat="1" applyFont="1" applyFill="1" applyBorder="1" applyAlignment="1" applyProtection="1">
      <alignment vertical="center"/>
      <protection hidden="1"/>
    </xf>
    <xf numFmtId="172" fontId="5" fillId="5" borderId="7" xfId="0" applyNumberFormat="1" applyFont="1" applyFill="1" applyBorder="1" applyAlignment="1" applyProtection="1">
      <alignment vertical="center"/>
      <protection hidden="1"/>
    </xf>
    <xf numFmtId="177" fontId="14" fillId="5" borderId="7" xfId="0" applyNumberFormat="1" applyFont="1" applyFill="1" applyBorder="1" applyAlignment="1" applyProtection="1">
      <alignment vertical="center"/>
      <protection hidden="1"/>
    </xf>
    <xf numFmtId="172" fontId="5" fillId="5" borderId="69" xfId="0" applyNumberFormat="1" applyFont="1" applyFill="1" applyBorder="1" applyAlignment="1" applyProtection="1">
      <alignment vertical="center"/>
      <protection hidden="1"/>
    </xf>
    <xf numFmtId="172" fontId="14" fillId="5" borderId="70" xfId="0" applyNumberFormat="1" applyFont="1" applyFill="1" applyBorder="1" applyAlignment="1" applyProtection="1">
      <alignment vertical="center"/>
      <protection hidden="1"/>
    </xf>
    <xf numFmtId="172" fontId="5" fillId="5" borderId="2" xfId="0" applyNumberFormat="1" applyFont="1" applyFill="1" applyBorder="1" applyAlignment="1" applyProtection="1">
      <alignment vertical="center"/>
      <protection hidden="1"/>
    </xf>
    <xf numFmtId="172" fontId="5" fillId="5" borderId="70" xfId="0" applyNumberFormat="1" applyFont="1" applyFill="1" applyBorder="1" applyAlignment="1" applyProtection="1">
      <alignment vertical="center"/>
      <protection hidden="1"/>
    </xf>
    <xf numFmtId="181" fontId="2" fillId="5" borderId="71" xfId="0" applyNumberFormat="1" applyFont="1" applyFill="1" applyBorder="1" applyAlignment="1" applyProtection="1">
      <alignment vertical="center"/>
      <protection hidden="1"/>
    </xf>
    <xf numFmtId="181" fontId="2" fillId="5" borderId="72" xfId="0" applyNumberFormat="1" applyFont="1" applyFill="1" applyBorder="1" applyAlignment="1" applyProtection="1">
      <alignment vertical="center"/>
      <protection hidden="1"/>
    </xf>
    <xf numFmtId="181" fontId="2" fillId="5" borderId="73" xfId="0" applyNumberFormat="1" applyFont="1" applyFill="1" applyBorder="1" applyAlignment="1" applyProtection="1">
      <alignment vertical="center"/>
      <protection hidden="1"/>
    </xf>
    <xf numFmtId="172" fontId="2" fillId="5" borderId="22" xfId="0" applyNumberFormat="1" applyFont="1" applyFill="1" applyBorder="1" applyAlignment="1" applyProtection="1">
      <alignment horizontal="center" vertical="top" wrapText="1"/>
      <protection hidden="1"/>
    </xf>
    <xf numFmtId="172" fontId="5" fillId="5" borderId="70" xfId="0" quotePrefix="1" applyNumberFormat="1" applyFont="1" applyFill="1" applyBorder="1" applyAlignment="1" applyProtection="1">
      <alignment horizontal="center" vertical="center"/>
      <protection hidden="1"/>
    </xf>
    <xf numFmtId="172" fontId="5" fillId="5" borderId="2" xfId="0" quotePrefix="1" applyNumberFormat="1" applyFont="1" applyFill="1" applyBorder="1" applyAlignment="1" applyProtection="1">
      <alignment horizontal="center" vertical="center"/>
      <protection hidden="1"/>
    </xf>
    <xf numFmtId="172" fontId="5" fillId="5" borderId="7" xfId="0" quotePrefix="1" applyNumberFormat="1" applyFont="1" applyFill="1" applyBorder="1" applyAlignment="1" applyProtection="1">
      <alignment horizontal="center" vertical="center"/>
      <protection hidden="1"/>
    </xf>
    <xf numFmtId="0" fontId="2" fillId="5" borderId="28" xfId="0" quotePrefix="1" applyNumberFormat="1" applyFont="1" applyFill="1" applyBorder="1" applyAlignment="1" applyProtection="1">
      <alignment horizontal="center" vertical="center"/>
      <protection hidden="1"/>
    </xf>
    <xf numFmtId="0" fontId="2" fillId="5" borderId="29" xfId="0" quotePrefix="1" applyNumberFormat="1" applyFont="1" applyFill="1" applyBorder="1" applyAlignment="1" applyProtection="1">
      <alignment horizontal="center" vertical="center"/>
      <protection hidden="1"/>
    </xf>
    <xf numFmtId="0" fontId="2" fillId="5" borderId="7" xfId="0" applyFont="1" applyFill="1" applyBorder="1" applyAlignment="1" applyProtection="1">
      <alignment horizontal="center" vertical="center"/>
      <protection hidden="1"/>
    </xf>
    <xf numFmtId="166" fontId="5" fillId="0" borderId="0" xfId="0" applyNumberFormat="1" applyFont="1" applyFill="1" applyProtection="1">
      <protection hidden="1"/>
    </xf>
    <xf numFmtId="0" fontId="2" fillId="0" borderId="0" xfId="0" applyFont="1" applyFill="1" applyProtection="1">
      <protection hidden="1"/>
    </xf>
    <xf numFmtId="0" fontId="5" fillId="5" borderId="10" xfId="0" applyFont="1" applyFill="1" applyBorder="1" applyProtection="1">
      <protection hidden="1"/>
    </xf>
    <xf numFmtId="172" fontId="2" fillId="5" borderId="42" xfId="0" applyNumberFormat="1" applyFont="1" applyFill="1" applyBorder="1" applyAlignment="1" applyProtection="1">
      <alignment horizontal="center" vertical="top" wrapText="1"/>
      <protection hidden="1"/>
    </xf>
    <xf numFmtId="176" fontId="2" fillId="5" borderId="7" xfId="0" applyNumberFormat="1" applyFont="1" applyFill="1" applyBorder="1" applyAlignment="1" applyProtection="1">
      <alignment vertical="center"/>
      <protection hidden="1"/>
    </xf>
    <xf numFmtId="177" fontId="2" fillId="5" borderId="7" xfId="0" applyNumberFormat="1" applyFont="1" applyFill="1" applyBorder="1" applyAlignment="1" applyProtection="1">
      <alignment vertical="center"/>
      <protection hidden="1"/>
    </xf>
    <xf numFmtId="0" fontId="9" fillId="5" borderId="31" xfId="0" applyFont="1" applyFill="1" applyBorder="1" applyAlignment="1" applyProtection="1">
      <protection hidden="1"/>
    </xf>
    <xf numFmtId="0" fontId="9" fillId="5" borderId="33" xfId="0" applyFont="1" applyFill="1" applyBorder="1" applyAlignment="1" applyProtection="1">
      <protection hidden="1"/>
    </xf>
    <xf numFmtId="0" fontId="5" fillId="5" borderId="31" xfId="0" applyFont="1" applyFill="1" applyBorder="1" applyAlignment="1" applyProtection="1">
      <alignment vertical="center"/>
      <protection hidden="1"/>
    </xf>
    <xf numFmtId="0" fontId="5" fillId="5" borderId="33" xfId="0" applyFont="1" applyFill="1" applyBorder="1" applyAlignment="1" applyProtection="1">
      <alignment vertical="center"/>
      <protection hidden="1"/>
    </xf>
    <xf numFmtId="0" fontId="5" fillId="5" borderId="5" xfId="0" applyFont="1" applyFill="1" applyBorder="1" applyAlignment="1" applyProtection="1">
      <alignment vertical="center"/>
      <protection hidden="1"/>
    </xf>
    <xf numFmtId="0" fontId="5" fillId="5" borderId="4" xfId="0" applyFont="1" applyFill="1" applyBorder="1" applyAlignment="1" applyProtection="1">
      <alignment vertical="center"/>
      <protection hidden="1"/>
    </xf>
    <xf numFmtId="181" fontId="5" fillId="5" borderId="72" xfId="0" applyNumberFormat="1" applyFont="1" applyFill="1" applyBorder="1" applyAlignment="1" applyProtection="1">
      <alignment vertical="center"/>
      <protection hidden="1"/>
    </xf>
    <xf numFmtId="0" fontId="5" fillId="5" borderId="72" xfId="0" applyNumberFormat="1" applyFont="1" applyFill="1" applyBorder="1" applyAlignment="1" applyProtection="1">
      <alignment vertical="center"/>
      <protection hidden="1"/>
    </xf>
    <xf numFmtId="0" fontId="6" fillId="0" borderId="6" xfId="0" applyNumberFormat="1" applyFont="1" applyFill="1" applyBorder="1" applyAlignment="1">
      <alignment horizontal="center" vertical="top" wrapText="1"/>
    </xf>
    <xf numFmtId="0" fontId="7" fillId="0" borderId="6" xfId="0" applyFont="1" applyBorder="1"/>
    <xf numFmtId="173" fontId="6" fillId="0" borderId="15" xfId="0" applyNumberFormat="1" applyFont="1" applyFill="1" applyBorder="1" applyAlignment="1">
      <alignment vertical="center"/>
    </xf>
    <xf numFmtId="0" fontId="6" fillId="0" borderId="61" xfId="8" quotePrefix="1" applyFont="1" applyBorder="1" applyAlignment="1">
      <alignment horizontal="center" vertical="center"/>
    </xf>
    <xf numFmtId="175" fontId="7" fillId="0" borderId="11" xfId="0" applyNumberFormat="1" applyFont="1" applyBorder="1"/>
    <xf numFmtId="175" fontId="6" fillId="0" borderId="17" xfId="0" applyNumberFormat="1" applyFont="1" applyBorder="1" applyAlignment="1">
      <alignment vertical="center"/>
    </xf>
    <xf numFmtId="177" fontId="2" fillId="5" borderId="31" xfId="0" applyNumberFormat="1" applyFont="1" applyFill="1" applyBorder="1" applyAlignment="1" applyProtection="1">
      <alignment vertical="center"/>
      <protection hidden="1"/>
    </xf>
    <xf numFmtId="172" fontId="2" fillId="5" borderId="33" xfId="0" applyNumberFormat="1" applyFont="1" applyFill="1" applyBorder="1" applyAlignment="1" applyProtection="1">
      <alignment horizontal="center" vertical="center"/>
      <protection hidden="1"/>
    </xf>
    <xf numFmtId="0" fontId="2" fillId="7" borderId="34" xfId="0" quotePrefix="1" applyFont="1" applyFill="1" applyBorder="1" applyAlignment="1" applyProtection="1">
      <alignment horizontal="center" vertical="center" wrapText="1"/>
      <protection hidden="1"/>
    </xf>
    <xf numFmtId="0" fontId="2" fillId="7" borderId="13" xfId="0" quotePrefix="1" applyFont="1" applyFill="1" applyBorder="1" applyAlignment="1" applyProtection="1">
      <alignment horizontal="center" vertical="center" wrapText="1"/>
      <protection hidden="1"/>
    </xf>
    <xf numFmtId="0" fontId="2" fillId="7" borderId="17" xfId="0" quotePrefix="1" applyFont="1" applyFill="1" applyBorder="1" applyAlignment="1" applyProtection="1">
      <alignment horizontal="center" vertical="center" wrapText="1"/>
      <protection hidden="1"/>
    </xf>
    <xf numFmtId="0" fontId="2" fillId="5" borderId="6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/>
    <xf numFmtId="0" fontId="7" fillId="0" borderId="59" xfId="0" applyFont="1" applyBorder="1"/>
    <xf numFmtId="0" fontId="7" fillId="0" borderId="42" xfId="0" applyFont="1" applyBorder="1"/>
    <xf numFmtId="0" fontId="6" fillId="0" borderId="2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top" inden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3" xfId="8" quotePrefix="1" applyFont="1" applyBorder="1" applyAlignment="1">
      <alignment horizontal="center" vertical="center"/>
    </xf>
    <xf numFmtId="0" fontId="7" fillId="0" borderId="10" xfId="0" applyFont="1" applyBorder="1" applyAlignment="1"/>
    <xf numFmtId="0" fontId="7" fillId="0" borderId="37" xfId="0" applyFont="1" applyBorder="1" applyAlignment="1"/>
    <xf numFmtId="0" fontId="7" fillId="0" borderId="43" xfId="0" applyFont="1" applyBorder="1"/>
    <xf numFmtId="0" fontId="6" fillId="0" borderId="0" xfId="0" quotePrefix="1" applyFont="1" applyBorder="1" applyAlignment="1">
      <alignment horizontal="center" vertical="center"/>
    </xf>
    <xf numFmtId="0" fontId="6" fillId="0" borderId="9" xfId="8" quotePrefix="1" applyFont="1" applyBorder="1" applyAlignment="1">
      <alignment horizontal="center" vertical="center"/>
    </xf>
    <xf numFmtId="0" fontId="7" fillId="0" borderId="0" xfId="0" applyFont="1" applyAlignment="1">
      <alignment horizontal="left" indent="1"/>
    </xf>
    <xf numFmtId="0" fontId="6" fillId="0" borderId="28" xfId="0" quotePrefix="1" applyFont="1" applyBorder="1" applyAlignment="1">
      <alignment horizontal="center" vertical="center"/>
    </xf>
    <xf numFmtId="176" fontId="7" fillId="0" borderId="0" xfId="0" applyNumberFormat="1" applyFont="1"/>
    <xf numFmtId="176" fontId="7" fillId="0" borderId="7" xfId="0" applyNumberFormat="1" applyFont="1" applyBorder="1"/>
    <xf numFmtId="0" fontId="6" fillId="0" borderId="1" xfId="4" applyFont="1" applyFill="1" applyBorder="1" applyAlignment="1" applyProtection="1">
      <alignment horizontal="left" indent="1"/>
      <protection hidden="1"/>
    </xf>
    <xf numFmtId="0" fontId="6" fillId="0" borderId="2" xfId="4" applyFont="1" applyFill="1" applyBorder="1" applyAlignment="1" applyProtection="1">
      <alignment horizontal="left" vertical="center" indent="1"/>
      <protection hidden="1"/>
    </xf>
    <xf numFmtId="0" fontId="6" fillId="0" borderId="2" xfId="4" applyFont="1" applyFill="1" applyBorder="1" applyAlignment="1" applyProtection="1">
      <alignment horizontal="left" vertical="center" indent="3"/>
      <protection hidden="1"/>
    </xf>
    <xf numFmtId="0" fontId="7" fillId="0" borderId="2" xfId="4" applyFont="1" applyFill="1" applyBorder="1" applyAlignment="1" applyProtection="1">
      <alignment horizontal="left" vertical="center" indent="4"/>
      <protection hidden="1"/>
    </xf>
    <xf numFmtId="0" fontId="7" fillId="0" borderId="2" xfId="4" applyFont="1" applyFill="1" applyBorder="1" applyAlignment="1" applyProtection="1">
      <alignment horizontal="left" vertical="center" indent="5"/>
      <protection hidden="1"/>
    </xf>
    <xf numFmtId="0" fontId="7" fillId="0" borderId="2" xfId="4" applyFont="1" applyFill="1" applyBorder="1" applyAlignment="1" applyProtection="1">
      <alignment horizontal="left" indent="4"/>
      <protection hidden="1"/>
    </xf>
    <xf numFmtId="0" fontId="6" fillId="0" borderId="75" xfId="0" applyFont="1" applyBorder="1" applyAlignment="1">
      <alignment horizontal="left" vertical="center" indent="1"/>
    </xf>
    <xf numFmtId="170" fontId="7" fillId="0" borderId="10" xfId="0" applyNumberFormat="1" applyFont="1" applyBorder="1"/>
    <xf numFmtId="0" fontId="7" fillId="0" borderId="37" xfId="0" applyFont="1" applyBorder="1"/>
    <xf numFmtId="184" fontId="7" fillId="0" borderId="8" xfId="0" applyNumberFormat="1" applyFont="1" applyFill="1" applyBorder="1" applyAlignment="1" applyProtection="1">
      <protection hidden="1"/>
    </xf>
    <xf numFmtId="184" fontId="7" fillId="0" borderId="2" xfId="0" applyNumberFormat="1" applyFont="1" applyFill="1" applyBorder="1" applyAlignment="1" applyProtection="1">
      <protection hidden="1"/>
    </xf>
    <xf numFmtId="178" fontId="7" fillId="0" borderId="2" xfId="0" applyNumberFormat="1" applyFont="1" applyFill="1" applyBorder="1" applyAlignment="1" applyProtection="1">
      <alignment horizontal="center"/>
      <protection hidden="1"/>
    </xf>
    <xf numFmtId="184" fontId="7" fillId="0" borderId="34" xfId="0" applyNumberFormat="1" applyFont="1" applyBorder="1" applyAlignment="1">
      <alignment vertical="center"/>
    </xf>
    <xf numFmtId="181" fontId="5" fillId="7" borderId="47" xfId="4" applyNumberFormat="1" applyFont="1" applyFill="1" applyBorder="1" applyAlignment="1" applyProtection="1">
      <alignment vertical="center"/>
      <protection hidden="1"/>
    </xf>
    <xf numFmtId="181" fontId="5" fillId="7" borderId="0" xfId="4" applyNumberFormat="1" applyFont="1" applyFill="1" applyBorder="1" applyAlignment="1" applyProtection="1">
      <protection hidden="1"/>
    </xf>
    <xf numFmtId="181" fontId="2" fillId="7" borderId="15" xfId="4" applyNumberFormat="1" applyFont="1" applyFill="1" applyBorder="1" applyAlignment="1" applyProtection="1">
      <alignment vertical="center"/>
      <protection hidden="1"/>
    </xf>
    <xf numFmtId="181" fontId="2" fillId="7" borderId="13" xfId="4" applyNumberFormat="1" applyFont="1" applyFill="1" applyBorder="1" applyAlignment="1" applyProtection="1">
      <alignment vertical="center"/>
      <protection hidden="1"/>
    </xf>
    <xf numFmtId="181" fontId="2" fillId="7" borderId="27" xfId="4" applyNumberFormat="1" applyFont="1" applyFill="1" applyBorder="1" applyAlignment="1" applyProtection="1">
      <alignment vertical="center"/>
      <protection hidden="1"/>
    </xf>
    <xf numFmtId="0" fontId="5" fillId="5" borderId="41" xfId="0" applyFont="1" applyFill="1" applyBorder="1" applyProtection="1">
      <protection hidden="1"/>
    </xf>
    <xf numFmtId="181" fontId="2" fillId="5" borderId="31" xfId="0" applyNumberFormat="1" applyFont="1" applyFill="1" applyBorder="1" applyAlignment="1" applyProtection="1">
      <alignment vertical="center"/>
      <protection hidden="1"/>
    </xf>
    <xf numFmtId="181" fontId="2" fillId="5" borderId="5" xfId="0" applyNumberFormat="1" applyFont="1" applyFill="1" applyBorder="1" applyAlignment="1" applyProtection="1">
      <alignment vertical="center"/>
      <protection hidden="1"/>
    </xf>
    <xf numFmtId="181" fontId="2" fillId="5" borderId="50" xfId="0" applyNumberFormat="1" applyFont="1" applyFill="1" applyBorder="1" applyAlignment="1" applyProtection="1">
      <alignment vertical="center"/>
      <protection hidden="1"/>
    </xf>
    <xf numFmtId="174" fontId="5" fillId="0" borderId="0" xfId="0" applyNumberFormat="1" applyFont="1" applyFill="1" applyProtection="1">
      <protection hidden="1"/>
    </xf>
    <xf numFmtId="172" fontId="2" fillId="5" borderId="52" xfId="0" applyNumberFormat="1" applyFont="1" applyFill="1" applyBorder="1" applyAlignment="1" applyProtection="1">
      <alignment horizontal="center" vertical="center"/>
      <protection hidden="1"/>
    </xf>
    <xf numFmtId="0" fontId="2" fillId="3" borderId="3" xfId="9" applyFont="1" applyFill="1" applyBorder="1" applyAlignment="1" applyProtection="1">
      <alignment horizontal="left" vertical="center"/>
      <protection hidden="1"/>
    </xf>
    <xf numFmtId="0" fontId="2" fillId="3" borderId="67" xfId="9" applyFont="1" applyFill="1" applyBorder="1" applyAlignment="1" applyProtection="1">
      <alignment horizontal="left" vertical="center"/>
      <protection hidden="1"/>
    </xf>
    <xf numFmtId="0" fontId="2" fillId="3" borderId="67" xfId="9" applyFont="1" applyFill="1" applyBorder="1" applyAlignment="1" applyProtection="1">
      <alignment vertical="center"/>
      <protection hidden="1"/>
    </xf>
    <xf numFmtId="0" fontId="5" fillId="3" borderId="67" xfId="9" applyFont="1" applyFill="1" applyBorder="1" applyAlignment="1" applyProtection="1">
      <alignment vertical="center"/>
      <protection hidden="1"/>
    </xf>
    <xf numFmtId="0" fontId="2" fillId="3" borderId="67" xfId="9" applyFont="1" applyFill="1" applyBorder="1" applyAlignment="1" applyProtection="1">
      <alignment horizontal="right" vertical="center"/>
      <protection hidden="1"/>
    </xf>
    <xf numFmtId="0" fontId="5" fillId="2" borderId="0" xfId="9" applyFont="1" applyFill="1" applyAlignment="1" applyProtection="1">
      <alignment vertical="top"/>
      <protection hidden="1"/>
    </xf>
    <xf numFmtId="0" fontId="5" fillId="4" borderId="9" xfId="0" applyFont="1" applyFill="1" applyBorder="1" applyAlignment="1" applyProtection="1">
      <alignment horizontal="left" vertical="center"/>
      <protection hidden="1"/>
    </xf>
    <xf numFmtId="0" fontId="5" fillId="3" borderId="0" xfId="9" applyFont="1" applyFill="1" applyBorder="1" applyAlignment="1" applyProtection="1">
      <alignment horizontal="left" indent="2"/>
      <protection hidden="1"/>
    </xf>
    <xf numFmtId="0" fontId="5" fillId="4" borderId="2" xfId="9" applyFont="1" applyFill="1" applyBorder="1" applyAlignment="1" applyProtection="1">
      <alignment vertical="center"/>
      <protection hidden="1"/>
    </xf>
    <xf numFmtId="0" fontId="5" fillId="2" borderId="0" xfId="9" applyFont="1" applyFill="1" applyProtection="1">
      <protection hidden="1"/>
    </xf>
    <xf numFmtId="0" fontId="5" fillId="0" borderId="0" xfId="0" applyFont="1" applyAlignment="1" applyProtection="1">
      <protection hidden="1"/>
    </xf>
    <xf numFmtId="0" fontId="5" fillId="4" borderId="2" xfId="9" applyFont="1" applyFill="1" applyBorder="1" applyAlignment="1" applyProtection="1">
      <alignment horizontal="center" vertical="center"/>
      <protection hidden="1"/>
    </xf>
    <xf numFmtId="0" fontId="5" fillId="3" borderId="9" xfId="9" applyFont="1" applyFill="1" applyBorder="1" applyProtection="1">
      <protection hidden="1"/>
    </xf>
    <xf numFmtId="0" fontId="5" fillId="3" borderId="0" xfId="9" applyFont="1" applyFill="1" applyBorder="1" applyProtection="1">
      <protection hidden="1"/>
    </xf>
    <xf numFmtId="0" fontId="5" fillId="3" borderId="0" xfId="9" applyFont="1" applyFill="1" applyBorder="1" applyAlignment="1" applyProtection="1">
      <alignment horizontal="center"/>
      <protection hidden="1"/>
    </xf>
    <xf numFmtId="0" fontId="5" fillId="4" borderId="2" xfId="9" applyFont="1" applyFill="1" applyBorder="1" applyProtection="1">
      <protection hidden="1"/>
    </xf>
    <xf numFmtId="0" fontId="2" fillId="3" borderId="9" xfId="9" applyFont="1" applyFill="1" applyBorder="1" applyProtection="1">
      <protection hidden="1"/>
    </xf>
    <xf numFmtId="0" fontId="5" fillId="4" borderId="2" xfId="9" applyFont="1" applyFill="1" applyBorder="1" applyAlignment="1" applyProtection="1">
      <alignment horizontal="centerContinuous" vertical="center"/>
      <protection hidden="1"/>
    </xf>
    <xf numFmtId="0" fontId="5" fillId="2" borderId="0" xfId="9" applyFont="1" applyFill="1" applyAlignment="1" applyProtection="1">
      <alignment vertical="center"/>
      <protection hidden="1"/>
    </xf>
    <xf numFmtId="0" fontId="17" fillId="4" borderId="61" xfId="0" applyFont="1" applyFill="1" applyBorder="1" applyAlignment="1" applyProtection="1">
      <alignment horizontal="left" vertical="center"/>
      <protection hidden="1"/>
    </xf>
    <xf numFmtId="0" fontId="5" fillId="3" borderId="61" xfId="9" applyFont="1" applyFill="1" applyBorder="1" applyAlignment="1" applyProtection="1">
      <alignment horizontal="centerContinuous" vertical="center"/>
      <protection hidden="1"/>
    </xf>
    <xf numFmtId="0" fontId="5" fillId="4" borderId="43" xfId="9" applyFont="1" applyFill="1" applyBorder="1" applyAlignment="1" applyProtection="1">
      <alignment horizontal="centerContinuous" vertical="center"/>
      <protection hidden="1"/>
    </xf>
    <xf numFmtId="0" fontId="2" fillId="2" borderId="0" xfId="0" applyFont="1" applyFill="1" applyBorder="1" applyAlignment="1" applyProtection="1">
      <protection hidden="1"/>
    </xf>
    <xf numFmtId="0" fontId="5" fillId="5" borderId="0" xfId="9" applyFont="1" applyFill="1" applyProtection="1">
      <protection hidden="1"/>
    </xf>
    <xf numFmtId="0" fontId="5" fillId="5" borderId="0" xfId="9" applyFont="1" applyFill="1" applyAlignment="1" applyProtection="1">
      <alignment horizontal="center"/>
      <protection hidden="1"/>
    </xf>
    <xf numFmtId="0" fontId="2" fillId="4" borderId="5" xfId="0" applyFont="1" applyFill="1" applyBorder="1" applyAlignment="1" applyProtection="1">
      <alignment horizontal="center" vertical="top"/>
      <protection hidden="1"/>
    </xf>
    <xf numFmtId="0" fontId="2" fillId="4" borderId="45" xfId="0" applyFont="1" applyFill="1" applyBorder="1" applyAlignment="1" applyProtection="1">
      <alignment horizontal="center" vertical="top"/>
      <protection hidden="1"/>
    </xf>
    <xf numFmtId="0" fontId="2" fillId="4" borderId="4" xfId="0" applyFont="1" applyFill="1" applyBorder="1" applyAlignment="1" applyProtection="1">
      <alignment horizontal="center" vertical="top" wrapText="1"/>
      <protection hidden="1"/>
    </xf>
    <xf numFmtId="0" fontId="2" fillId="3" borderId="7" xfId="9" applyFont="1" applyFill="1" applyBorder="1" applyAlignment="1" applyProtection="1">
      <alignment horizontal="center" vertical="center"/>
      <protection hidden="1"/>
    </xf>
    <xf numFmtId="0" fontId="2" fillId="3" borderId="2" xfId="9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top" wrapText="1"/>
      <protection hidden="1"/>
    </xf>
    <xf numFmtId="0" fontId="2" fillId="4" borderId="75" xfId="0" applyFont="1" applyFill="1" applyBorder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center" wrapText="1"/>
      <protection hidden="1"/>
    </xf>
    <xf numFmtId="0" fontId="2" fillId="4" borderId="15" xfId="0" applyFont="1" applyFill="1" applyBorder="1" applyAlignment="1" applyProtection="1">
      <protection hidden="1"/>
    </xf>
    <xf numFmtId="0" fontId="2" fillId="3" borderId="11" xfId="9" applyFont="1" applyFill="1" applyBorder="1" applyAlignment="1" applyProtection="1">
      <alignment horizontal="center" vertical="center"/>
      <protection hidden="1"/>
    </xf>
    <xf numFmtId="172" fontId="2" fillId="2" borderId="38" xfId="0" applyNumberFormat="1" applyFont="1" applyFill="1" applyBorder="1" applyAlignment="1" applyProtection="1">
      <alignment horizontal="center" vertical="center"/>
      <protection hidden="1"/>
    </xf>
    <xf numFmtId="0" fontId="2" fillId="4" borderId="6" xfId="0" applyFont="1" applyFill="1" applyBorder="1" applyAlignment="1" applyProtection="1">
      <alignment horizontal="left" vertical="center" indent="1"/>
      <protection hidden="1"/>
    </xf>
    <xf numFmtId="169" fontId="5" fillId="4" borderId="51" xfId="0" applyNumberFormat="1" applyFont="1" applyFill="1" applyBorder="1" applyAlignment="1" applyProtection="1">
      <alignment vertical="center"/>
      <protection hidden="1"/>
    </xf>
    <xf numFmtId="181" fontId="5" fillId="7" borderId="10" xfId="4" applyNumberFormat="1" applyFont="1" applyFill="1" applyBorder="1" applyAlignment="1" applyProtection="1">
      <alignment vertical="center"/>
      <protection hidden="1"/>
    </xf>
    <xf numFmtId="181" fontId="5" fillId="7" borderId="7" xfId="4" applyNumberFormat="1" applyFont="1" applyFill="1" applyBorder="1" applyAlignment="1" applyProtection="1">
      <alignment vertical="center"/>
      <protection hidden="1"/>
    </xf>
    <xf numFmtId="0" fontId="5" fillId="4" borderId="67" xfId="0" applyFont="1" applyFill="1" applyBorder="1" applyProtection="1">
      <protection hidden="1"/>
    </xf>
    <xf numFmtId="0" fontId="2" fillId="4" borderId="67" xfId="0" applyFont="1" applyFill="1" applyBorder="1" applyAlignment="1" applyProtection="1">
      <alignment horizontal="right"/>
      <protection hidden="1"/>
    </xf>
    <xf numFmtId="0" fontId="17" fillId="4" borderId="9" xfId="0" applyFont="1" applyFill="1" applyBorder="1" applyProtection="1">
      <protection hidden="1"/>
    </xf>
    <xf numFmtId="0" fontId="2" fillId="4" borderId="9" xfId="0" applyFont="1" applyFill="1" applyBorder="1" applyAlignment="1" applyProtection="1">
      <alignment horizontal="left" vertical="center" indent="1"/>
      <protection hidden="1"/>
    </xf>
    <xf numFmtId="0" fontId="2" fillId="4" borderId="1" xfId="0" applyFont="1" applyFill="1" applyBorder="1" applyAlignment="1" applyProtection="1">
      <alignment horizontal="center" vertical="top" wrapText="1"/>
      <protection hidden="1"/>
    </xf>
    <xf numFmtId="0" fontId="2" fillId="4" borderId="46" xfId="0" applyFont="1" applyFill="1" applyBorder="1" applyAlignment="1" applyProtection="1">
      <alignment horizontal="center" vertical="top" wrapText="1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167" fontId="5" fillId="0" borderId="64" xfId="0" applyNumberFormat="1" applyFont="1" applyFill="1" applyBorder="1" applyAlignment="1" applyProtection="1">
      <alignment vertical="center"/>
      <protection locked="0"/>
    </xf>
    <xf numFmtId="170" fontId="5" fillId="0" borderId="28" xfId="0" applyNumberFormat="1" applyFont="1" applyFill="1" applyBorder="1" applyAlignment="1" applyProtection="1">
      <alignment vertical="center"/>
      <protection locked="0"/>
    </xf>
    <xf numFmtId="167" fontId="5" fillId="0" borderId="28" xfId="0" applyNumberFormat="1" applyFont="1" applyFill="1" applyBorder="1" applyAlignment="1" applyProtection="1">
      <alignment vertical="center"/>
      <protection locked="0"/>
    </xf>
    <xf numFmtId="170" fontId="5" fillId="0" borderId="43" xfId="0" applyNumberFormat="1" applyFont="1" applyFill="1" applyBorder="1" applyAlignment="1" applyProtection="1">
      <alignment vertical="center"/>
      <protection locked="0"/>
    </xf>
    <xf numFmtId="181" fontId="2" fillId="8" borderId="64" xfId="0" applyNumberFormat="1" applyFont="1" applyFill="1" applyBorder="1" applyAlignment="1" applyProtection="1">
      <alignment vertical="center"/>
      <protection hidden="1"/>
    </xf>
    <xf numFmtId="183" fontId="2" fillId="8" borderId="76" xfId="0" applyNumberFormat="1" applyFont="1" applyFill="1" applyBorder="1" applyAlignment="1" applyProtection="1">
      <alignment vertical="center"/>
      <protection hidden="1"/>
    </xf>
    <xf numFmtId="167" fontId="5" fillId="0" borderId="14" xfId="0" applyNumberFormat="1" applyFont="1" applyFill="1" applyBorder="1" applyAlignment="1" applyProtection="1">
      <alignment vertical="center"/>
      <protection locked="0"/>
    </xf>
    <xf numFmtId="170" fontId="5" fillId="0" borderId="13" xfId="0" applyNumberFormat="1" applyFont="1" applyFill="1" applyBorder="1" applyAlignment="1" applyProtection="1">
      <alignment vertical="center"/>
      <protection locked="0"/>
    </xf>
    <xf numFmtId="167" fontId="5" fillId="0" borderId="13" xfId="0" applyNumberFormat="1" applyFont="1" applyFill="1" applyBorder="1" applyAlignment="1" applyProtection="1">
      <alignment vertical="center"/>
      <protection locked="0"/>
    </xf>
    <xf numFmtId="170" fontId="5" fillId="0" borderId="75" xfId="0" applyNumberFormat="1" applyFont="1" applyFill="1" applyBorder="1" applyAlignment="1" applyProtection="1">
      <alignment vertical="center"/>
      <protection locked="0"/>
    </xf>
    <xf numFmtId="181" fontId="2" fillId="8" borderId="14" xfId="0" applyNumberFormat="1" applyFont="1" applyFill="1" applyBorder="1" applyAlignment="1" applyProtection="1">
      <alignment vertical="center"/>
      <protection hidden="1"/>
    </xf>
    <xf numFmtId="183" fontId="2" fillId="8" borderId="77" xfId="0" applyNumberFormat="1" applyFont="1" applyFill="1" applyBorder="1" applyAlignment="1" applyProtection="1">
      <alignment vertical="center"/>
      <protection hidden="1"/>
    </xf>
    <xf numFmtId="0" fontId="2" fillId="4" borderId="64" xfId="0" applyFont="1" applyFill="1" applyBorder="1" applyAlignment="1" applyProtection="1">
      <alignment horizontal="left" vertical="center" indent="1"/>
      <protection hidden="1"/>
    </xf>
    <xf numFmtId="0" fontId="5" fillId="4" borderId="61" xfId="0" applyFont="1" applyFill="1" applyBorder="1" applyProtection="1">
      <protection hidden="1"/>
    </xf>
    <xf numFmtId="0" fontId="5" fillId="4" borderId="43" xfId="0" applyFont="1" applyFill="1" applyBorder="1" applyProtection="1">
      <protection hidden="1"/>
    </xf>
    <xf numFmtId="0" fontId="17" fillId="4" borderId="0" xfId="0" applyFont="1" applyFill="1" applyBorder="1" applyAlignment="1" applyProtection="1">
      <alignment horizontal="left" vertical="center"/>
      <protection hidden="1"/>
    </xf>
    <xf numFmtId="0" fontId="5" fillId="4" borderId="0" xfId="0" applyFont="1" applyFill="1" applyBorder="1" applyAlignment="1" applyProtection="1">
      <alignment horizontal="centerContinuous"/>
      <protection hidden="1"/>
    </xf>
    <xf numFmtId="0" fontId="5" fillId="2" borderId="0" xfId="0" quotePrefix="1" applyFont="1" applyFill="1" applyBorder="1" applyAlignment="1" applyProtection="1">
      <alignment horizontal="center" vertical="center" wrapText="1"/>
      <protection hidden="1"/>
    </xf>
    <xf numFmtId="0" fontId="2" fillId="4" borderId="16" xfId="0" applyFont="1" applyFill="1" applyBorder="1" applyAlignment="1" applyProtection="1">
      <alignment horizontal="center" vertical="center" wrapText="1"/>
      <protection hidden="1"/>
    </xf>
    <xf numFmtId="0" fontId="2" fillId="4" borderId="13" xfId="0" applyFont="1" applyFill="1" applyBorder="1" applyAlignment="1" applyProtection="1">
      <alignment horizontal="center" vertical="top"/>
      <protection hidden="1"/>
    </xf>
    <xf numFmtId="0" fontId="2" fillId="4" borderId="66" xfId="0" applyFont="1" applyFill="1" applyBorder="1" applyAlignment="1" applyProtection="1">
      <alignment horizontal="center" vertical="top"/>
      <protection hidden="1"/>
    </xf>
    <xf numFmtId="0" fontId="2" fillId="4" borderId="13" xfId="0" applyFont="1" applyFill="1" applyBorder="1" applyAlignment="1" applyProtection="1">
      <alignment horizontal="center" vertical="top" wrapText="1"/>
      <protection hidden="1"/>
    </xf>
    <xf numFmtId="0" fontId="2" fillId="4" borderId="16" xfId="0" applyFont="1" applyFill="1" applyBorder="1" applyAlignment="1" applyProtection="1">
      <alignment horizontal="center" vertical="top" wrapText="1"/>
      <protection hidden="1"/>
    </xf>
    <xf numFmtId="0" fontId="2" fillId="4" borderId="64" xfId="0" applyFont="1" applyFill="1" applyBorder="1" applyAlignment="1" applyProtection="1">
      <alignment horizontal="centerContinuous" vertical="center"/>
      <protection hidden="1"/>
    </xf>
    <xf numFmtId="0" fontId="2" fillId="4" borderId="43" xfId="0" applyFont="1" applyFill="1" applyBorder="1" applyAlignment="1" applyProtection="1">
      <alignment horizontal="centerContinuous" vertical="center"/>
      <protection hidden="1"/>
    </xf>
    <xf numFmtId="0" fontId="2" fillId="4" borderId="7" xfId="0" applyFont="1" applyFill="1" applyBorder="1" applyAlignment="1" applyProtection="1">
      <alignment horizontal="center" vertical="center"/>
      <protection hidden="1"/>
    </xf>
    <xf numFmtId="0" fontId="2" fillId="4" borderId="9" xfId="0" applyFont="1" applyFill="1" applyBorder="1" applyAlignment="1" applyProtection="1">
      <alignment horizontal="center" vertical="center"/>
      <protection hidden="1"/>
    </xf>
    <xf numFmtId="0" fontId="2" fillId="4" borderId="8" xfId="0" applyFont="1" applyFill="1" applyBorder="1" applyAlignment="1" applyProtection="1">
      <alignment horizontal="center" vertical="center"/>
      <protection hidden="1"/>
    </xf>
    <xf numFmtId="0" fontId="2" fillId="3" borderId="75" xfId="0" applyFont="1" applyFill="1" applyBorder="1" applyAlignment="1" applyProtection="1">
      <alignment horizontal="center" vertical="center"/>
      <protection hidden="1"/>
    </xf>
    <xf numFmtId="0" fontId="2" fillId="3" borderId="13" xfId="0" applyFont="1" applyFill="1" applyBorder="1" applyAlignment="1" applyProtection="1">
      <alignment horizontal="center" vertical="center"/>
      <protection hidden="1"/>
    </xf>
    <xf numFmtId="0" fontId="2" fillId="3" borderId="16" xfId="0" applyFont="1" applyFill="1" applyBorder="1" applyAlignment="1" applyProtection="1">
      <alignment horizontal="center" vertical="center"/>
      <protection hidden="1"/>
    </xf>
    <xf numFmtId="181" fontId="2" fillId="5" borderId="78" xfId="0" applyNumberFormat="1" applyFont="1" applyFill="1" applyBorder="1" applyAlignment="1" applyProtection="1">
      <alignment vertical="center"/>
      <protection hidden="1"/>
    </xf>
    <xf numFmtId="181" fontId="21" fillId="5" borderId="71" xfId="0" applyNumberFormat="1" applyFont="1" applyFill="1" applyBorder="1" applyAlignment="1" applyProtection="1">
      <alignment vertical="center"/>
      <protection hidden="1"/>
    </xf>
    <xf numFmtId="177" fontId="21" fillId="5" borderId="31" xfId="0" applyNumberFormat="1" applyFont="1" applyFill="1" applyBorder="1" applyAlignment="1" applyProtection="1">
      <alignment vertical="center"/>
      <protection hidden="1"/>
    </xf>
    <xf numFmtId="181" fontId="21" fillId="5" borderId="72" xfId="0" applyNumberFormat="1" applyFont="1" applyFill="1" applyBorder="1" applyAlignment="1" applyProtection="1">
      <alignment vertical="center"/>
      <protection hidden="1"/>
    </xf>
    <xf numFmtId="0" fontId="2" fillId="5" borderId="35" xfId="0" applyFont="1" applyFill="1" applyBorder="1" applyAlignment="1" applyProtection="1">
      <alignment horizontal="center" vertical="center"/>
      <protection hidden="1"/>
    </xf>
    <xf numFmtId="181" fontId="2" fillId="5" borderId="79" xfId="0" applyNumberFormat="1" applyFont="1" applyFill="1" applyBorder="1" applyAlignment="1" applyProtection="1">
      <alignment vertical="center"/>
      <protection hidden="1"/>
    </xf>
    <xf numFmtId="181" fontId="21" fillId="5" borderId="73" xfId="0" applyNumberFormat="1" applyFont="1" applyFill="1" applyBorder="1" applyAlignment="1" applyProtection="1">
      <alignment vertical="center"/>
      <protection hidden="1"/>
    </xf>
    <xf numFmtId="177" fontId="21" fillId="5" borderId="50" xfId="0" applyNumberFormat="1" applyFont="1" applyFill="1" applyBorder="1" applyAlignment="1" applyProtection="1">
      <alignment vertical="center"/>
      <protection hidden="1"/>
    </xf>
    <xf numFmtId="0" fontId="2" fillId="5" borderId="52" xfId="0" applyFont="1" applyFill="1" applyBorder="1" applyAlignment="1" applyProtection="1">
      <alignment horizontal="center" vertical="center"/>
      <protection hidden="1"/>
    </xf>
    <xf numFmtId="172" fontId="6" fillId="0" borderId="28" xfId="0" applyNumberFormat="1" applyFont="1" applyFill="1" applyBorder="1" applyAlignment="1" applyProtection="1">
      <alignment horizontal="center" vertical="center"/>
      <protection hidden="1"/>
    </xf>
    <xf numFmtId="3" fontId="6" fillId="0" borderId="28" xfId="0" applyNumberFormat="1" applyFont="1" applyFill="1" applyBorder="1" applyAlignment="1" applyProtection="1">
      <alignment horizontal="center" vertical="center"/>
      <protection hidden="1"/>
    </xf>
    <xf numFmtId="3" fontId="6" fillId="0" borderId="43" xfId="0" applyNumberFormat="1" applyFont="1" applyFill="1" applyBorder="1" applyAlignment="1" applyProtection="1">
      <alignment horizontal="center" vertical="center"/>
      <protection hidden="1"/>
    </xf>
    <xf numFmtId="0" fontId="6" fillId="0" borderId="32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3" xfId="0" applyNumberFormat="1" applyFont="1" applyFill="1" applyBorder="1" applyAlignment="1" applyProtection="1">
      <alignment horizontal="center" vertical="center" wrapText="1"/>
      <protection hidden="1"/>
    </xf>
    <xf numFmtId="169" fontId="5" fillId="4" borderId="41" xfId="0" applyNumberFormat="1" applyFont="1" applyFill="1" applyBorder="1" applyAlignment="1" applyProtection="1">
      <alignment vertical="center"/>
      <protection hidden="1"/>
    </xf>
    <xf numFmtId="179" fontId="5" fillId="4" borderId="51" xfId="0" applyNumberFormat="1" applyFont="1" applyFill="1" applyBorder="1" applyAlignment="1" applyProtection="1">
      <alignment vertical="center"/>
      <protection hidden="1"/>
    </xf>
    <xf numFmtId="169" fontId="5" fillId="4" borderId="51" xfId="0" applyNumberFormat="1" applyFont="1" applyFill="1" applyBorder="1" applyAlignment="1" applyProtection="1">
      <alignment horizontal="right" vertical="center"/>
      <protection hidden="1"/>
    </xf>
    <xf numFmtId="0" fontId="5" fillId="4" borderId="41" xfId="0" applyFont="1" applyFill="1" applyBorder="1" applyAlignment="1" applyProtection="1">
      <alignment vertical="center"/>
      <protection hidden="1"/>
    </xf>
    <xf numFmtId="169" fontId="5" fillId="4" borderId="32" xfId="0" applyNumberFormat="1" applyFont="1" applyFill="1" applyBorder="1" applyAlignment="1" applyProtection="1">
      <alignment vertical="center"/>
      <protection hidden="1"/>
    </xf>
    <xf numFmtId="169" fontId="5" fillId="4" borderId="80" xfId="0" applyNumberFormat="1" applyFont="1" applyFill="1" applyBorder="1" applyAlignment="1" applyProtection="1">
      <alignment vertical="center"/>
      <protection hidden="1"/>
    </xf>
    <xf numFmtId="0" fontId="2" fillId="4" borderId="24" xfId="0" applyFont="1" applyFill="1" applyBorder="1" applyAlignment="1" applyProtection="1">
      <alignment horizontal="left" vertical="center" indent="1"/>
      <protection hidden="1"/>
    </xf>
    <xf numFmtId="169" fontId="5" fillId="4" borderId="59" xfId="0" applyNumberFormat="1" applyFont="1" applyFill="1" applyBorder="1" applyAlignment="1" applyProtection="1">
      <alignment vertical="center"/>
      <protection hidden="1"/>
    </xf>
    <xf numFmtId="169" fontId="5" fillId="4" borderId="42" xfId="0" applyNumberFormat="1" applyFont="1" applyFill="1" applyBorder="1" applyAlignment="1" applyProtection="1">
      <alignment vertical="center"/>
      <protection hidden="1"/>
    </xf>
    <xf numFmtId="169" fontId="5" fillId="4" borderId="23" xfId="0" applyNumberFormat="1" applyFont="1" applyFill="1" applyBorder="1" applyAlignment="1" applyProtection="1">
      <alignment vertical="center"/>
      <protection hidden="1"/>
    </xf>
    <xf numFmtId="0" fontId="7" fillId="2" borderId="32" xfId="0" applyFont="1" applyFill="1" applyBorder="1" applyAlignment="1" applyProtection="1">
      <alignment horizontal="center" vertical="center"/>
      <protection hidden="1"/>
    </xf>
    <xf numFmtId="2" fontId="7" fillId="2" borderId="31" xfId="0" applyNumberFormat="1" applyFont="1" applyFill="1" applyBorder="1" applyAlignment="1" applyProtection="1">
      <alignment horizontal="center" vertical="center"/>
      <protection hidden="1"/>
    </xf>
    <xf numFmtId="0" fontId="17" fillId="4" borderId="0" xfId="0" applyFont="1" applyFill="1" applyBorder="1" applyAlignment="1" applyProtection="1">
      <alignment vertical="top"/>
      <protection hidden="1"/>
    </xf>
    <xf numFmtId="2" fontId="8" fillId="5" borderId="0" xfId="0" applyNumberFormat="1" applyFont="1" applyFill="1" applyBorder="1" applyAlignment="1" applyProtection="1">
      <protection hidden="1"/>
    </xf>
    <xf numFmtId="0" fontId="7" fillId="2" borderId="30" xfId="0" applyFont="1" applyFill="1" applyBorder="1" applyAlignment="1" applyProtection="1">
      <alignment horizontal="center" vertical="center"/>
      <protection hidden="1"/>
    </xf>
    <xf numFmtId="2" fontId="7" fillId="2" borderId="33" xfId="0" applyNumberFormat="1" applyFont="1" applyFill="1" applyBorder="1" applyAlignment="1" applyProtection="1">
      <alignment horizontal="center" vertical="center"/>
      <protection hidden="1"/>
    </xf>
    <xf numFmtId="0" fontId="8" fillId="2" borderId="10" xfId="0" applyFont="1" applyFill="1" applyBorder="1" applyAlignment="1" applyProtection="1">
      <protection hidden="1"/>
    </xf>
    <xf numFmtId="2" fontId="8" fillId="2" borderId="46" xfId="0" applyNumberFormat="1" applyFont="1" applyFill="1" applyBorder="1" applyAlignment="1" applyProtection="1">
      <protection hidden="1"/>
    </xf>
    <xf numFmtId="0" fontId="8" fillId="2" borderId="37" xfId="0" applyFont="1" applyFill="1" applyBorder="1" applyAlignment="1" applyProtection="1">
      <protection hidden="1"/>
    </xf>
    <xf numFmtId="2" fontId="8" fillId="2" borderId="38" xfId="0" applyNumberFormat="1" applyFont="1" applyFill="1" applyBorder="1" applyAlignment="1" applyProtection="1">
      <protection hidden="1"/>
    </xf>
    <xf numFmtId="0" fontId="8" fillId="2" borderId="40" xfId="0" applyFont="1" applyFill="1" applyBorder="1" applyAlignment="1" applyProtection="1">
      <alignment horizontal="center"/>
      <protection hidden="1"/>
    </xf>
    <xf numFmtId="2" fontId="8" fillId="2" borderId="35" xfId="0" applyNumberFormat="1" applyFont="1" applyFill="1" applyBorder="1" applyAlignment="1" applyProtection="1">
      <alignment horizontal="center"/>
      <protection hidden="1"/>
    </xf>
    <xf numFmtId="0" fontId="7" fillId="2" borderId="56" xfId="0" applyFont="1" applyFill="1" applyBorder="1" applyAlignment="1" applyProtection="1">
      <alignment horizontal="center" vertical="center"/>
      <protection hidden="1"/>
    </xf>
    <xf numFmtId="0" fontId="7" fillId="2" borderId="53" xfId="0" applyFont="1" applyFill="1" applyBorder="1" applyAlignment="1" applyProtection="1">
      <alignment horizontal="center" vertical="center"/>
      <protection hidden="1"/>
    </xf>
    <xf numFmtId="2" fontId="7" fillId="2" borderId="50" xfId="0" applyNumberFormat="1" applyFont="1" applyFill="1" applyBorder="1" applyAlignment="1" applyProtection="1">
      <alignment horizontal="center" vertical="center"/>
      <protection hidden="1"/>
    </xf>
    <xf numFmtId="0" fontId="12" fillId="2" borderId="37" xfId="0" applyFont="1" applyFill="1" applyBorder="1" applyAlignment="1" applyProtection="1">
      <alignment horizontal="center" vertical="top" wrapText="1"/>
      <protection hidden="1"/>
    </xf>
    <xf numFmtId="0" fontId="7" fillId="2" borderId="40" xfId="0" applyFont="1" applyFill="1" applyBorder="1" applyAlignment="1" applyProtection="1">
      <alignment horizontal="center" vertical="center"/>
      <protection hidden="1"/>
    </xf>
    <xf numFmtId="0" fontId="7" fillId="2" borderId="65" xfId="0" applyFont="1" applyFill="1" applyBorder="1" applyAlignment="1" applyProtection="1">
      <alignment horizontal="center" vertical="center"/>
      <protection hidden="1"/>
    </xf>
    <xf numFmtId="2" fontId="7" fillId="2" borderId="35" xfId="0" applyNumberFormat="1" applyFont="1" applyFill="1" applyBorder="1" applyAlignment="1" applyProtection="1">
      <alignment horizontal="center" vertical="center"/>
      <protection hidden="1"/>
    </xf>
    <xf numFmtId="2" fontId="7" fillId="2" borderId="54" xfId="0" applyNumberFormat="1" applyFont="1" applyFill="1" applyBorder="1" applyAlignment="1" applyProtection="1">
      <alignment horizontal="center" vertical="center"/>
      <protection hidden="1"/>
    </xf>
    <xf numFmtId="0" fontId="8" fillId="2" borderId="7" xfId="0" applyFont="1" applyFill="1" applyBorder="1" applyAlignment="1" applyProtection="1">
      <protection hidden="1"/>
    </xf>
    <xf numFmtId="2" fontId="8" fillId="2" borderId="7" xfId="0" applyNumberFormat="1" applyFont="1" applyFill="1" applyBorder="1" applyAlignment="1" applyProtection="1">
      <protection hidden="1"/>
    </xf>
    <xf numFmtId="0" fontId="8" fillId="2" borderId="28" xfId="0" applyFont="1" applyFill="1" applyBorder="1" applyAlignment="1" applyProtection="1">
      <protection hidden="1"/>
    </xf>
    <xf numFmtId="2" fontId="8" fillId="2" borderId="28" xfId="0" applyNumberFormat="1" applyFont="1" applyFill="1" applyBorder="1" applyAlignment="1" applyProtection="1">
      <protection hidden="1"/>
    </xf>
    <xf numFmtId="0" fontId="8" fillId="2" borderId="31" xfId="0" applyFont="1" applyFill="1" applyBorder="1" applyAlignment="1" applyProtection="1">
      <alignment horizontal="center"/>
      <protection hidden="1"/>
    </xf>
    <xf numFmtId="2" fontId="8" fillId="2" borderId="31" xfId="0" applyNumberFormat="1" applyFont="1" applyFill="1" applyBorder="1" applyAlignment="1" applyProtection="1">
      <alignment horizontal="center"/>
      <protection hidden="1"/>
    </xf>
    <xf numFmtId="0" fontId="7" fillId="2" borderId="50" xfId="0" applyFont="1" applyFill="1" applyBorder="1" applyAlignment="1" applyProtection="1">
      <alignment horizontal="center" vertical="center"/>
      <protection hidden="1"/>
    </xf>
    <xf numFmtId="0" fontId="12" fillId="2" borderId="38" xfId="0" applyFont="1" applyFill="1" applyBorder="1" applyAlignment="1" applyProtection="1">
      <alignment horizontal="center" vertical="top" wrapText="1"/>
      <protection hidden="1"/>
    </xf>
    <xf numFmtId="0" fontId="5" fillId="4" borderId="10" xfId="0" applyFont="1" applyFill="1" applyBorder="1" applyAlignment="1" applyProtection="1">
      <protection hidden="1"/>
    </xf>
    <xf numFmtId="0" fontId="5" fillId="4" borderId="10" xfId="0" applyFont="1" applyFill="1" applyBorder="1" applyAlignment="1" applyProtection="1">
      <alignment horizontal="left" vertical="center" wrapText="1" indent="1"/>
      <protection hidden="1"/>
    </xf>
    <xf numFmtId="2" fontId="8" fillId="5" borderId="48" xfId="0" applyNumberFormat="1" applyFont="1" applyFill="1" applyBorder="1" applyAlignment="1" applyProtection="1">
      <protection hidden="1"/>
    </xf>
    <xf numFmtId="0" fontId="8" fillId="2" borderId="9" xfId="0" applyFont="1" applyFill="1" applyBorder="1" applyProtection="1">
      <protection hidden="1"/>
    </xf>
    <xf numFmtId="0" fontId="6" fillId="5" borderId="9" xfId="0" applyFont="1" applyFill="1" applyBorder="1" applyAlignment="1" applyProtection="1">
      <alignment vertical="center"/>
      <protection hidden="1"/>
    </xf>
    <xf numFmtId="2" fontId="6" fillId="5" borderId="0" xfId="0" applyNumberFormat="1" applyFont="1" applyFill="1" applyBorder="1" applyAlignment="1" applyProtection="1">
      <alignment horizontal="left" vertical="center"/>
      <protection hidden="1"/>
    </xf>
    <xf numFmtId="0" fontId="7" fillId="2" borderId="27" xfId="0" applyFont="1" applyFill="1" applyBorder="1" applyAlignment="1" applyProtection="1">
      <alignment horizontal="center" vertical="center"/>
      <protection hidden="1"/>
    </xf>
    <xf numFmtId="0" fontId="7" fillId="2" borderId="43" xfId="0" applyFont="1" applyFill="1" applyBorder="1" applyAlignment="1" applyProtection="1">
      <alignment horizontal="center" vertical="center"/>
      <protection hidden="1"/>
    </xf>
    <xf numFmtId="2" fontId="7" fillId="2" borderId="28" xfId="0" applyNumberFormat="1" applyFont="1" applyFill="1" applyBorder="1" applyAlignment="1" applyProtection="1">
      <alignment horizontal="center" vertical="center"/>
      <protection hidden="1"/>
    </xf>
    <xf numFmtId="2" fontId="7" fillId="2" borderId="29" xfId="0" applyNumberFormat="1" applyFont="1" applyFill="1" applyBorder="1" applyAlignment="1" applyProtection="1">
      <alignment horizontal="center" vertical="center"/>
      <protection hidden="1"/>
    </xf>
    <xf numFmtId="0" fontId="7" fillId="2" borderId="40" xfId="0" applyFont="1" applyFill="1" applyBorder="1" applyAlignment="1" applyProtection="1">
      <protection hidden="1"/>
    </xf>
    <xf numFmtId="0" fontId="7" fillId="2" borderId="51" xfId="0" applyFont="1" applyFill="1" applyBorder="1" applyAlignment="1" applyProtection="1">
      <protection hidden="1"/>
    </xf>
    <xf numFmtId="2" fontId="7" fillId="2" borderId="67" xfId="0" applyNumberFormat="1" applyFont="1" applyFill="1" applyBorder="1" applyAlignment="1" applyProtection="1">
      <protection hidden="1"/>
    </xf>
    <xf numFmtId="0" fontId="7" fillId="2" borderId="46" xfId="0" applyFont="1" applyFill="1" applyBorder="1" applyAlignment="1" applyProtection="1">
      <protection hidden="1"/>
    </xf>
    <xf numFmtId="2" fontId="7" fillId="2" borderId="14" xfId="0" applyNumberFormat="1" applyFont="1" applyFill="1" applyBorder="1" applyAlignment="1" applyProtection="1">
      <alignment horizontal="center" vertical="center"/>
      <protection hidden="1"/>
    </xf>
    <xf numFmtId="2" fontId="7" fillId="2" borderId="17" xfId="0" applyNumberFormat="1" applyFont="1" applyFill="1" applyBorder="1" applyAlignment="1" applyProtection="1">
      <alignment horizontal="center" vertical="center"/>
      <protection hidden="1"/>
    </xf>
    <xf numFmtId="0" fontId="7" fillId="2" borderId="81" xfId="0" applyFont="1" applyFill="1" applyBorder="1" applyAlignment="1" applyProtection="1">
      <alignment horizontal="center" vertical="center" wrapText="1"/>
      <protection hidden="1"/>
    </xf>
    <xf numFmtId="0" fontId="7" fillId="2" borderId="82" xfId="0" applyFont="1" applyFill="1" applyBorder="1" applyAlignment="1" applyProtection="1">
      <alignment horizontal="center" vertical="center" wrapText="1"/>
      <protection hidden="1"/>
    </xf>
    <xf numFmtId="0" fontId="7" fillId="2" borderId="83" xfId="0" applyFont="1" applyFill="1" applyBorder="1" applyAlignment="1" applyProtection="1">
      <alignment horizontal="center" vertical="center" wrapText="1"/>
      <protection hidden="1"/>
    </xf>
    <xf numFmtId="0" fontId="7" fillId="2" borderId="56" xfId="0" applyFont="1" applyFill="1" applyBorder="1" applyAlignment="1" applyProtection="1">
      <alignment horizontal="center" vertical="center" wrapText="1"/>
      <protection hidden="1"/>
    </xf>
    <xf numFmtId="0" fontId="7" fillId="2" borderId="53" xfId="0" applyFont="1" applyFill="1" applyBorder="1" applyAlignment="1" applyProtection="1">
      <alignment horizontal="center" vertical="center" wrapText="1"/>
      <protection hidden="1"/>
    </xf>
    <xf numFmtId="0" fontId="7" fillId="2" borderId="54" xfId="0" applyFont="1" applyFill="1" applyBorder="1" applyAlignment="1" applyProtection="1">
      <alignment horizontal="center" vertical="center" wrapText="1"/>
      <protection hidden="1"/>
    </xf>
    <xf numFmtId="0" fontId="8" fillId="2" borderId="81" xfId="0" quotePrefix="1" applyFont="1" applyFill="1" applyBorder="1" applyAlignment="1" applyProtection="1">
      <alignment horizontal="center" vertical="center" wrapText="1"/>
      <protection hidden="1"/>
    </xf>
    <xf numFmtId="0" fontId="8" fillId="2" borderId="84" xfId="0" quotePrefix="1" applyFont="1" applyFill="1" applyBorder="1" applyAlignment="1" applyProtection="1">
      <alignment horizontal="center" vertical="center" wrapText="1"/>
      <protection hidden="1"/>
    </xf>
    <xf numFmtId="0" fontId="8" fillId="2" borderId="85" xfId="0" quotePrefix="1" applyFont="1" applyFill="1" applyBorder="1" applyAlignment="1" applyProtection="1">
      <alignment horizontal="center" vertical="center" wrapText="1"/>
      <protection hidden="1"/>
    </xf>
    <xf numFmtId="0" fontId="8" fillId="2" borderId="56" xfId="0" quotePrefix="1" applyFont="1" applyFill="1" applyBorder="1" applyAlignment="1" applyProtection="1">
      <alignment horizontal="center" vertical="center" wrapText="1"/>
      <protection hidden="1"/>
    </xf>
    <xf numFmtId="0" fontId="8" fillId="2" borderId="50" xfId="0" quotePrefix="1" applyFont="1" applyFill="1" applyBorder="1" applyAlignment="1" applyProtection="1">
      <alignment horizontal="center" vertical="center" wrapText="1"/>
      <protection hidden="1"/>
    </xf>
    <xf numFmtId="0" fontId="8" fillId="2" borderId="52" xfId="0" quotePrefix="1" applyFont="1" applyFill="1" applyBorder="1" applyAlignment="1" applyProtection="1">
      <alignment horizontal="center" vertical="center" wrapText="1"/>
      <protection hidden="1"/>
    </xf>
    <xf numFmtId="0" fontId="5" fillId="4" borderId="0" xfId="9" applyFont="1" applyFill="1" applyBorder="1" applyProtection="1">
      <protection hidden="1"/>
    </xf>
    <xf numFmtId="2" fontId="7" fillId="2" borderId="32" xfId="0" quotePrefix="1" applyNumberFormat="1" applyFont="1" applyFill="1" applyBorder="1" applyAlignment="1" applyProtection="1">
      <alignment horizontal="center" vertical="center"/>
      <protection hidden="1"/>
    </xf>
    <xf numFmtId="0" fontId="3" fillId="4" borderId="9" xfId="0" applyFont="1" applyFill="1" applyBorder="1" applyAlignment="1" applyProtection="1">
      <protection hidden="1"/>
    </xf>
    <xf numFmtId="0" fontId="2" fillId="4" borderId="8" xfId="0" applyFont="1" applyFill="1" applyBorder="1" applyAlignment="1" applyProtection="1">
      <alignment horizontal="left" vertical="center"/>
      <protection hidden="1"/>
    </xf>
    <xf numFmtId="0" fontId="3" fillId="4" borderId="9" xfId="0" applyFont="1" applyFill="1" applyBorder="1" applyAlignment="1" applyProtection="1">
      <alignment horizontal="left"/>
      <protection hidden="1"/>
    </xf>
    <xf numFmtId="0" fontId="3" fillId="5" borderId="45" xfId="0" applyNumberFormat="1" applyFont="1" applyFill="1" applyBorder="1" applyAlignment="1" applyProtection="1">
      <protection hidden="1"/>
    </xf>
    <xf numFmtId="0" fontId="5" fillId="4" borderId="2" xfId="0" applyFont="1" applyFill="1" applyBorder="1" applyAlignment="1" applyProtection="1">
      <alignment vertical="top"/>
      <protection hidden="1"/>
    </xf>
    <xf numFmtId="0" fontId="2" fillId="5" borderId="9" xfId="0" applyFont="1" applyFill="1" applyBorder="1" applyAlignment="1" applyProtection="1">
      <alignment horizontal="left" vertical="center"/>
      <protection hidden="1"/>
    </xf>
    <xf numFmtId="0" fontId="3" fillId="5" borderId="9" xfId="0" applyFont="1" applyFill="1" applyBorder="1" applyAlignment="1" applyProtection="1">
      <protection hidden="1"/>
    </xf>
    <xf numFmtId="0" fontId="2" fillId="4" borderId="51" xfId="0" applyFont="1" applyFill="1" applyBorder="1" applyAlignment="1" applyProtection="1">
      <alignment horizontal="center" vertical="top" wrapText="1"/>
      <protection hidden="1"/>
    </xf>
    <xf numFmtId="0" fontId="2" fillId="4" borderId="31" xfId="0" applyFont="1" applyFill="1" applyBorder="1" applyAlignment="1" applyProtection="1">
      <alignment horizontal="center" vertical="top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4" borderId="5" xfId="0" applyFont="1" applyFill="1" applyBorder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5" fillId="4" borderId="61" xfId="0" applyFont="1" applyFill="1" applyBorder="1" applyAlignment="1" applyProtection="1">
      <alignment horizontal="centerContinuous" vertical="center"/>
      <protection hidden="1"/>
    </xf>
    <xf numFmtId="0" fontId="5" fillId="4" borderId="43" xfId="0" applyFont="1" applyFill="1" applyBorder="1" applyAlignment="1" applyProtection="1">
      <alignment horizontal="centerContinuous" vertical="center"/>
      <protection hidden="1"/>
    </xf>
    <xf numFmtId="0" fontId="2" fillId="4" borderId="1" xfId="0" applyFont="1" applyFill="1" applyBorder="1" applyAlignment="1" applyProtection="1">
      <alignment horizontal="right"/>
      <protection hidden="1"/>
    </xf>
    <xf numFmtId="0" fontId="8" fillId="5" borderId="2" xfId="0" applyFont="1" applyFill="1" applyBorder="1" applyProtection="1">
      <protection hidden="1"/>
    </xf>
    <xf numFmtId="0" fontId="5" fillId="4" borderId="2" xfId="0" applyFont="1" applyFill="1" applyBorder="1" applyAlignment="1" applyProtection="1">
      <alignment horizontal="right"/>
      <protection hidden="1"/>
    </xf>
    <xf numFmtId="0" fontId="2" fillId="3" borderId="9" xfId="0" applyFont="1" applyFill="1" applyBorder="1" applyAlignment="1" applyProtection="1">
      <alignment horizontal="left"/>
      <protection hidden="1"/>
    </xf>
    <xf numFmtId="0" fontId="2" fillId="5" borderId="67" xfId="0" applyNumberFormat="1" applyFont="1" applyFill="1" applyBorder="1" applyAlignment="1" applyProtection="1">
      <protection hidden="1"/>
    </xf>
    <xf numFmtId="0" fontId="2" fillId="5" borderId="67" xfId="0" applyFont="1" applyFill="1" applyBorder="1" applyAlignment="1" applyProtection="1">
      <alignment horizontal="center" vertical="center" wrapText="1"/>
      <protection hidden="1"/>
    </xf>
    <xf numFmtId="0" fontId="5" fillId="5" borderId="1" xfId="0" applyFont="1" applyFill="1" applyBorder="1" applyAlignment="1" applyProtection="1">
      <alignment vertical="center"/>
      <protection hidden="1"/>
    </xf>
    <xf numFmtId="0" fontId="5" fillId="5" borderId="2" xfId="0" applyFont="1" applyFill="1" applyBorder="1" applyProtection="1">
      <protection hidden="1"/>
    </xf>
    <xf numFmtId="0" fontId="5" fillId="5" borderId="2" xfId="0" applyFont="1" applyFill="1" applyBorder="1" applyAlignment="1" applyProtection="1">
      <protection hidden="1"/>
    </xf>
    <xf numFmtId="0" fontId="5" fillId="5" borderId="2" xfId="0" applyNumberFormat="1" applyFont="1" applyFill="1" applyBorder="1" applyAlignment="1" applyProtection="1">
      <protection hidden="1"/>
    </xf>
    <xf numFmtId="179" fontId="5" fillId="0" borderId="58" xfId="4" applyNumberFormat="1" applyFont="1" applyFill="1" applyBorder="1" applyAlignment="1" applyProtection="1">
      <alignment vertical="center"/>
      <protection locked="0"/>
    </xf>
    <xf numFmtId="179" fontId="5" fillId="0" borderId="20" xfId="4" applyNumberFormat="1" applyFont="1" applyFill="1" applyBorder="1" applyAlignment="1" applyProtection="1">
      <alignment vertical="center"/>
      <protection locked="0"/>
    </xf>
    <xf numFmtId="181" fontId="2" fillId="5" borderId="86" xfId="4" applyNumberFormat="1" applyFont="1" applyFill="1" applyBorder="1" applyAlignment="1" applyProtection="1">
      <alignment vertical="center"/>
      <protection hidden="1"/>
    </xf>
    <xf numFmtId="181" fontId="21" fillId="5" borderId="49" xfId="4" applyNumberFormat="1" applyFont="1" applyFill="1" applyBorder="1" applyAlignment="1" applyProtection="1">
      <alignment vertical="center"/>
      <protection hidden="1"/>
    </xf>
    <xf numFmtId="0" fontId="2" fillId="4" borderId="15" xfId="0" applyFont="1" applyFill="1" applyBorder="1" applyAlignment="1" applyProtection="1">
      <alignment horizontal="left" vertical="center" indent="2"/>
      <protection hidden="1"/>
    </xf>
    <xf numFmtId="2" fontId="6" fillId="5" borderId="9" xfId="0" applyNumberFormat="1" applyFont="1" applyFill="1" applyBorder="1" applyAlignment="1" applyProtection="1">
      <alignment horizontal="left" vertical="center" indent="1"/>
      <protection hidden="1"/>
    </xf>
    <xf numFmtId="179" fontId="5" fillId="0" borderId="31" xfId="9" applyNumberFormat="1" applyFont="1" applyFill="1" applyBorder="1" applyAlignment="1" applyProtection="1">
      <alignment vertical="center"/>
      <protection locked="0"/>
    </xf>
    <xf numFmtId="179" fontId="5" fillId="0" borderId="5" xfId="9" applyNumberFormat="1" applyFont="1" applyFill="1" applyBorder="1" applyAlignment="1" applyProtection="1">
      <alignment vertical="center"/>
      <protection locked="0"/>
    </xf>
    <xf numFmtId="179" fontId="5" fillId="0" borderId="32" xfId="9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181" fontId="2" fillId="2" borderId="5" xfId="0" applyNumberFormat="1" applyFont="1" applyFill="1" applyBorder="1" applyAlignment="1" applyProtection="1">
      <alignment vertical="center"/>
      <protection hidden="1"/>
    </xf>
    <xf numFmtId="181" fontId="2" fillId="2" borderId="31" xfId="0" applyNumberFormat="1" applyFont="1" applyFill="1" applyBorder="1" applyAlignment="1" applyProtection="1">
      <alignment vertical="center"/>
      <protection hidden="1"/>
    </xf>
    <xf numFmtId="0" fontId="2" fillId="3" borderId="27" xfId="0" applyFont="1" applyFill="1" applyBorder="1" applyAlignment="1" applyProtection="1">
      <alignment horizontal="left" vertical="center" indent="2"/>
      <protection hidden="1"/>
    </xf>
    <xf numFmtId="0" fontId="20" fillId="5" borderId="12" xfId="4" applyFont="1" applyFill="1" applyBorder="1" applyAlignment="1" applyProtection="1">
      <alignment horizontal="left" vertical="center" indent="4"/>
      <protection hidden="1"/>
    </xf>
    <xf numFmtId="176" fontId="7" fillId="0" borderId="5" xfId="11" applyNumberFormat="1" applyFont="1" applyFill="1" applyBorder="1" applyAlignment="1"/>
    <xf numFmtId="176" fontId="7" fillId="0" borderId="7" xfId="11" applyNumberFormat="1" applyFont="1" applyFill="1" applyBorder="1" applyAlignment="1"/>
    <xf numFmtId="176" fontId="6" fillId="0" borderId="13" xfId="11" applyNumberFormat="1" applyFont="1" applyFill="1" applyBorder="1" applyAlignment="1">
      <alignment vertical="center"/>
    </xf>
    <xf numFmtId="175" fontId="7" fillId="0" borderId="7" xfId="12" applyNumberFormat="1" applyFont="1" applyFill="1" applyBorder="1"/>
    <xf numFmtId="0" fontId="6" fillId="0" borderId="7" xfId="5" applyFont="1" applyFill="1" applyBorder="1" applyAlignment="1">
      <alignment horizontal="center" vertical="top" wrapText="1"/>
    </xf>
    <xf numFmtId="0" fontId="6" fillId="0" borderId="9" xfId="5" applyFont="1" applyFill="1" applyBorder="1" applyAlignment="1">
      <alignment horizontal="center" vertical="top" wrapText="1"/>
    </xf>
    <xf numFmtId="175" fontId="7" fillId="0" borderId="0" xfId="0" applyNumberFormat="1" applyFont="1"/>
    <xf numFmtId="0" fontId="6" fillId="0" borderId="5" xfId="0" applyNumberFormat="1" applyFont="1" applyFill="1" applyBorder="1" applyAlignment="1">
      <alignment horizontal="center" vertical="top" wrapText="1"/>
    </xf>
    <xf numFmtId="0" fontId="6" fillId="0" borderId="7" xfId="0" applyNumberFormat="1" applyFont="1" applyFill="1" applyBorder="1" applyAlignment="1">
      <alignment horizontal="center" vertical="top" wrapText="1"/>
    </xf>
    <xf numFmtId="0" fontId="7" fillId="0" borderId="9" xfId="0" applyFont="1" applyBorder="1"/>
    <xf numFmtId="0" fontId="7" fillId="0" borderId="9" xfId="4" applyFont="1" applyFill="1" applyBorder="1" applyProtection="1">
      <protection hidden="1"/>
    </xf>
    <xf numFmtId="0" fontId="7" fillId="0" borderId="8" xfId="4" applyFont="1" applyFill="1" applyBorder="1" applyProtection="1">
      <protection hidden="1"/>
    </xf>
    <xf numFmtId="176" fontId="7" fillId="0" borderId="45" xfId="4" applyNumberFormat="1" applyFont="1" applyFill="1" applyBorder="1" applyAlignment="1" applyProtection="1">
      <protection hidden="1"/>
    </xf>
    <xf numFmtId="176" fontId="7" fillId="0" borderId="9" xfId="4" applyNumberFormat="1" applyFont="1" applyFill="1" applyBorder="1" applyAlignment="1" applyProtection="1">
      <protection hidden="1"/>
    </xf>
    <xf numFmtId="176" fontId="7" fillId="0" borderId="9" xfId="4" applyNumberFormat="1" applyFont="1" applyFill="1" applyBorder="1" applyAlignment="1" applyProtection="1">
      <alignment vertical="center"/>
      <protection hidden="1"/>
    </xf>
    <xf numFmtId="176" fontId="6" fillId="0" borderId="9" xfId="4" applyNumberFormat="1" applyFont="1" applyFill="1" applyBorder="1" applyAlignment="1" applyProtection="1">
      <alignment vertical="center"/>
      <protection hidden="1"/>
    </xf>
    <xf numFmtId="176" fontId="6" fillId="0" borderId="14" xfId="4" applyNumberFormat="1" applyFont="1" applyFill="1" applyBorder="1" applyAlignment="1" applyProtection="1">
      <alignment vertical="center"/>
      <protection hidden="1"/>
    </xf>
    <xf numFmtId="176" fontId="7" fillId="0" borderId="0" xfId="4" applyNumberFormat="1" applyFont="1" applyFill="1" applyBorder="1" applyProtection="1">
      <protection hidden="1"/>
    </xf>
    <xf numFmtId="0" fontId="7" fillId="0" borderId="66" xfId="0" applyFont="1" applyFill="1" applyBorder="1" applyAlignment="1">
      <alignment horizontal="left" vertical="center" indent="1"/>
    </xf>
    <xf numFmtId="169" fontId="7" fillId="0" borderId="34" xfId="0" applyNumberFormat="1" applyFont="1" applyBorder="1" applyAlignment="1">
      <alignment vertical="center"/>
    </xf>
    <xf numFmtId="178" fontId="7" fillId="0" borderId="13" xfId="0" applyNumberFormat="1" applyFont="1" applyFill="1" applyBorder="1" applyAlignment="1" applyProtection="1">
      <alignment horizontal="center" vertical="center"/>
      <protection hidden="1"/>
    </xf>
    <xf numFmtId="184" fontId="7" fillId="0" borderId="75" xfId="0" applyNumberFormat="1" applyFont="1" applyFill="1" applyBorder="1" applyAlignment="1" applyProtection="1">
      <alignment vertical="center"/>
      <protection hidden="1"/>
    </xf>
    <xf numFmtId="184" fontId="7" fillId="0" borderId="16" xfId="0" applyNumberFormat="1" applyFont="1" applyFill="1" applyBorder="1" applyAlignment="1" applyProtection="1">
      <alignment vertical="center"/>
      <protection hidden="1"/>
    </xf>
    <xf numFmtId="176" fontId="7" fillId="0" borderId="4" xfId="4" applyNumberFormat="1" applyFont="1" applyFill="1" applyBorder="1" applyAlignment="1" applyProtection="1">
      <protection hidden="1"/>
    </xf>
    <xf numFmtId="176" fontId="7" fillId="0" borderId="8" xfId="4" applyNumberFormat="1" applyFont="1" applyFill="1" applyBorder="1" applyAlignment="1" applyProtection="1">
      <alignment vertical="center"/>
      <protection hidden="1"/>
    </xf>
    <xf numFmtId="176" fontId="6" fillId="0" borderId="8" xfId="4" applyNumberFormat="1" applyFont="1" applyFill="1" applyBorder="1" applyAlignment="1" applyProtection="1">
      <alignment vertical="center"/>
      <protection hidden="1"/>
    </xf>
    <xf numFmtId="176" fontId="7" fillId="0" borderId="8" xfId="4" applyNumberFormat="1" applyFont="1" applyFill="1" applyBorder="1" applyAlignment="1" applyProtection="1">
      <protection hidden="1"/>
    </xf>
    <xf numFmtId="176" fontId="6" fillId="0" borderId="16" xfId="4" applyNumberFormat="1" applyFont="1" applyFill="1" applyBorder="1" applyAlignment="1" applyProtection="1">
      <alignment vertical="center"/>
      <protection hidden="1"/>
    </xf>
    <xf numFmtId="176" fontId="7" fillId="0" borderId="74" xfId="4" applyNumberFormat="1" applyFont="1" applyFill="1" applyBorder="1" applyAlignment="1" applyProtection="1">
      <protection hidden="1"/>
    </xf>
    <xf numFmtId="0" fontId="7" fillId="0" borderId="6" xfId="4" applyFont="1" applyFill="1" applyBorder="1" applyProtection="1">
      <protection hidden="1"/>
    </xf>
    <xf numFmtId="176" fontId="7" fillId="0" borderId="6" xfId="4" applyNumberFormat="1" applyFont="1" applyFill="1" applyBorder="1" applyAlignment="1" applyProtection="1">
      <alignment vertical="center"/>
      <protection hidden="1"/>
    </xf>
    <xf numFmtId="176" fontId="6" fillId="0" borderId="6" xfId="4" applyNumberFormat="1" applyFont="1" applyFill="1" applyBorder="1" applyAlignment="1" applyProtection="1">
      <alignment vertical="center"/>
      <protection hidden="1"/>
    </xf>
    <xf numFmtId="176" fontId="7" fillId="0" borderId="6" xfId="4" applyNumberFormat="1" applyFont="1" applyFill="1" applyBorder="1" applyAlignment="1" applyProtection="1">
      <protection hidden="1"/>
    </xf>
    <xf numFmtId="176" fontId="6" fillId="0" borderId="15" xfId="4" applyNumberFormat="1" applyFont="1" applyFill="1" applyBorder="1" applyAlignment="1" applyProtection="1">
      <alignment vertical="center"/>
      <protection hidden="1"/>
    </xf>
    <xf numFmtId="176" fontId="6" fillId="0" borderId="45" xfId="4" applyNumberFormat="1" applyFont="1" applyFill="1" applyBorder="1" applyAlignment="1" applyProtection="1">
      <protection hidden="1"/>
    </xf>
    <xf numFmtId="176" fontId="6" fillId="0" borderId="9" xfId="4" applyNumberFormat="1" applyFont="1" applyFill="1" applyBorder="1" applyAlignment="1" applyProtection="1">
      <protection hidden="1"/>
    </xf>
    <xf numFmtId="175" fontId="7" fillId="0" borderId="9" xfId="12" applyNumberFormat="1" applyFont="1" applyFill="1" applyBorder="1"/>
    <xf numFmtId="173" fontId="6" fillId="0" borderId="14" xfId="0" applyNumberFormat="1" applyFont="1" applyFill="1" applyBorder="1" applyAlignment="1">
      <alignment vertical="center"/>
    </xf>
    <xf numFmtId="182" fontId="7" fillId="0" borderId="2" xfId="0" applyNumberFormat="1" applyFont="1" applyBorder="1"/>
    <xf numFmtId="182" fontId="6" fillId="0" borderId="75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27" xfId="8" quotePrefix="1" applyFont="1" applyBorder="1" applyAlignment="1">
      <alignment horizontal="center" vertical="center"/>
    </xf>
    <xf numFmtId="175" fontId="7" fillId="0" borderId="6" xfId="12" applyNumberFormat="1" applyFont="1" applyFill="1" applyBorder="1"/>
    <xf numFmtId="175" fontId="6" fillId="0" borderId="13" xfId="0" applyNumberFormat="1" applyFont="1" applyBorder="1" applyAlignment="1">
      <alignment vertical="center"/>
    </xf>
    <xf numFmtId="175" fontId="7" fillId="0" borderId="0" xfId="12" applyNumberFormat="1" applyFont="1" applyFill="1" applyBorder="1"/>
    <xf numFmtId="175" fontId="7" fillId="0" borderId="75" xfId="12" applyNumberFormat="1" applyFont="1" applyFill="1" applyBorder="1" applyAlignment="1">
      <alignment vertical="center"/>
    </xf>
    <xf numFmtId="175" fontId="7" fillId="0" borderId="5" xfId="0" applyNumberFormat="1" applyFont="1" applyBorder="1"/>
    <xf numFmtId="175" fontId="7" fillId="0" borderId="7" xfId="0" applyNumberFormat="1" applyFont="1" applyBorder="1"/>
    <xf numFmtId="0" fontId="7" fillId="0" borderId="0" xfId="11" applyNumberFormat="1" applyFont="1" applyFill="1" applyBorder="1" applyAlignment="1"/>
    <xf numFmtId="0" fontId="7" fillId="0" borderId="0" xfId="12" applyNumberFormat="1" applyFont="1" applyFill="1" applyBorder="1" applyAlignment="1"/>
    <xf numFmtId="172" fontId="6" fillId="0" borderId="0" xfId="0" applyNumberFormat="1" applyFont="1" applyFill="1" applyBorder="1" applyAlignment="1" applyProtection="1">
      <protection hidden="1"/>
    </xf>
    <xf numFmtId="0" fontId="7" fillId="0" borderId="0" xfId="0" applyFont="1" applyBorder="1" applyAlignment="1"/>
    <xf numFmtId="176" fontId="6" fillId="0" borderId="0" xfId="11" applyNumberFormat="1" applyFont="1" applyFill="1" applyBorder="1" applyAlignment="1"/>
    <xf numFmtId="0" fontId="6" fillId="0" borderId="22" xfId="0" applyFont="1" applyBorder="1" applyAlignment="1">
      <alignment horizontal="center" vertical="center"/>
    </xf>
    <xf numFmtId="0" fontId="5" fillId="9" borderId="0" xfId="4" applyFont="1" applyFill="1" applyBorder="1" applyAlignment="1" applyProtection="1">
      <alignment vertical="top"/>
      <protection hidden="1"/>
    </xf>
    <xf numFmtId="175" fontId="7" fillId="0" borderId="0" xfId="0" applyNumberFormat="1" applyFont="1" applyBorder="1"/>
    <xf numFmtId="0" fontId="7" fillId="0" borderId="0" xfId="0" applyNumberFormat="1" applyFont="1" applyFill="1" applyBorder="1" applyAlignment="1"/>
    <xf numFmtId="181" fontId="2" fillId="3" borderId="91" xfId="9" applyNumberFormat="1" applyFont="1" applyFill="1" applyBorder="1" applyAlignment="1" applyProtection="1">
      <alignment vertical="center"/>
      <protection hidden="1"/>
    </xf>
    <xf numFmtId="181" fontId="2" fillId="2" borderId="92" xfId="9" applyNumberFormat="1" applyFont="1" applyFill="1" applyBorder="1" applyAlignment="1" applyProtection="1">
      <alignment vertical="center"/>
      <protection hidden="1"/>
    </xf>
    <xf numFmtId="0" fontId="5" fillId="2" borderId="10" xfId="0" applyFont="1" applyFill="1" applyBorder="1" applyAlignment="1" applyProtection="1">
      <alignment horizontal="left" vertical="center" indent="1"/>
      <protection hidden="1"/>
    </xf>
    <xf numFmtId="0" fontId="5" fillId="9" borderId="86" xfId="9" applyNumberFormat="1" applyFont="1" applyFill="1" applyBorder="1" applyAlignment="1" applyProtection="1">
      <protection hidden="1"/>
    </xf>
    <xf numFmtId="180" fontId="2" fillId="2" borderId="54" xfId="0" applyNumberFormat="1" applyFont="1" applyFill="1" applyBorder="1" applyAlignment="1" applyProtection="1">
      <alignment vertical="center"/>
      <protection hidden="1"/>
    </xf>
    <xf numFmtId="0" fontId="2" fillId="3" borderId="34" xfId="9" applyFont="1" applyFill="1" applyBorder="1" applyAlignment="1" applyProtection="1">
      <alignment horizontal="left" vertical="center" indent="1"/>
      <protection hidden="1"/>
    </xf>
    <xf numFmtId="0" fontId="5" fillId="9" borderId="0" xfId="0" applyNumberFormat="1" applyFont="1" applyFill="1" applyBorder="1" applyAlignment="1" applyProtection="1">
      <protection hidden="1"/>
    </xf>
    <xf numFmtId="0" fontId="13" fillId="5" borderId="10" xfId="0" applyFont="1" applyFill="1" applyBorder="1" applyAlignment="1" applyProtection="1">
      <alignment vertical="center"/>
      <protection hidden="1"/>
    </xf>
    <xf numFmtId="165" fontId="13" fillId="5" borderId="37" xfId="0" applyNumberFormat="1" applyFont="1" applyFill="1" applyBorder="1" applyAlignment="1" applyProtection="1">
      <protection hidden="1"/>
    </xf>
    <xf numFmtId="179" fontId="5" fillId="5" borderId="93" xfId="0" applyNumberFormat="1" applyFont="1" applyFill="1" applyBorder="1" applyAlignment="1" applyProtection="1">
      <alignment vertical="center"/>
      <protection hidden="1"/>
    </xf>
    <xf numFmtId="181" fontId="21" fillId="5" borderId="95" xfId="0" applyNumberFormat="1" applyFont="1" applyFill="1" applyBorder="1" applyAlignment="1" applyProtection="1">
      <alignment vertical="center"/>
      <protection hidden="1"/>
    </xf>
    <xf numFmtId="0" fontId="27" fillId="4" borderId="6" xfId="0" applyFont="1" applyFill="1" applyBorder="1" applyAlignment="1" applyProtection="1">
      <alignment horizontal="center" vertical="center"/>
      <protection hidden="1"/>
    </xf>
    <xf numFmtId="0" fontId="5" fillId="5" borderId="21" xfId="0" applyFont="1" applyFill="1" applyBorder="1" applyAlignment="1" applyProtection="1">
      <protection hidden="1"/>
    </xf>
    <xf numFmtId="0" fontId="5" fillId="5" borderId="24" xfId="0" applyFont="1" applyFill="1" applyBorder="1" applyAlignment="1" applyProtection="1">
      <protection hidden="1"/>
    </xf>
    <xf numFmtId="0" fontId="2" fillId="5" borderId="6" xfId="0" applyFont="1" applyFill="1" applyBorder="1" applyAlignment="1" applyProtection="1">
      <alignment horizontal="left" vertical="center" indent="1"/>
      <protection hidden="1"/>
    </xf>
    <xf numFmtId="0" fontId="13" fillId="5" borderId="6" xfId="0" applyFont="1" applyFill="1" applyBorder="1" applyAlignment="1" applyProtection="1">
      <alignment vertical="center"/>
      <protection hidden="1"/>
    </xf>
    <xf numFmtId="165" fontId="13" fillId="5" borderId="27" xfId="0" applyNumberFormat="1" applyFont="1" applyFill="1" applyBorder="1" applyAlignment="1" applyProtection="1">
      <protection hidden="1"/>
    </xf>
    <xf numFmtId="179" fontId="5" fillId="5" borderId="0" xfId="0" applyNumberFormat="1" applyFont="1" applyFill="1" applyBorder="1" applyAlignment="1" applyProtection="1">
      <alignment vertical="center"/>
      <protection hidden="1"/>
    </xf>
    <xf numFmtId="181" fontId="21" fillId="5" borderId="0" xfId="0" applyNumberFormat="1" applyFont="1" applyFill="1" applyBorder="1" applyAlignment="1" applyProtection="1">
      <alignment vertical="center"/>
      <protection hidden="1"/>
    </xf>
    <xf numFmtId="181" fontId="21" fillId="5" borderId="97" xfId="0" applyNumberFormat="1" applyFont="1" applyFill="1" applyBorder="1" applyAlignment="1" applyProtection="1">
      <alignment vertical="center"/>
      <protection hidden="1"/>
    </xf>
    <xf numFmtId="0" fontId="5" fillId="9" borderId="9" xfId="0" applyFont="1" applyFill="1" applyBorder="1" applyProtection="1">
      <protection hidden="1"/>
    </xf>
    <xf numFmtId="0" fontId="2" fillId="9" borderId="9" xfId="0" applyFont="1" applyFill="1" applyBorder="1" applyProtection="1">
      <protection hidden="1"/>
    </xf>
    <xf numFmtId="0" fontId="5" fillId="9" borderId="2" xfId="0" applyFont="1" applyFill="1" applyBorder="1" applyProtection="1">
      <protection hidden="1"/>
    </xf>
    <xf numFmtId="0" fontId="5" fillId="9" borderId="0" xfId="0" applyFont="1" applyFill="1" applyBorder="1" applyProtection="1">
      <protection hidden="1"/>
    </xf>
    <xf numFmtId="172" fontId="5" fillId="9" borderId="0" xfId="0" applyNumberFormat="1" applyFont="1" applyFill="1" applyBorder="1" applyProtection="1">
      <protection hidden="1"/>
    </xf>
    <xf numFmtId="0" fontId="2" fillId="5" borderId="10" xfId="0" applyFont="1" applyFill="1" applyBorder="1" applyAlignment="1" applyProtection="1">
      <alignment horizontal="left" vertical="center" indent="1"/>
      <protection hidden="1"/>
    </xf>
    <xf numFmtId="0" fontId="5" fillId="5" borderId="59" xfId="0" applyNumberFormat="1" applyFont="1" applyFill="1" applyBorder="1" applyAlignment="1" applyProtection="1">
      <protection hidden="1"/>
    </xf>
    <xf numFmtId="0" fontId="5" fillId="5" borderId="42" xfId="0" applyNumberFormat="1" applyFont="1" applyFill="1" applyBorder="1" applyAlignment="1" applyProtection="1">
      <protection hidden="1"/>
    </xf>
    <xf numFmtId="0" fontId="5" fillId="5" borderId="61" xfId="0" quotePrefix="1" applyNumberFormat="1" applyFont="1" applyFill="1" applyBorder="1" applyAlignment="1" applyProtection="1">
      <protection hidden="1"/>
    </xf>
    <xf numFmtId="0" fontId="5" fillId="5" borderId="43" xfId="0" quotePrefix="1" applyNumberFormat="1" applyFont="1" applyFill="1" applyBorder="1" applyAlignment="1" applyProtection="1">
      <protection hidden="1"/>
    </xf>
    <xf numFmtId="0" fontId="5" fillId="9" borderId="66" xfId="0" applyFont="1" applyFill="1" applyBorder="1" applyProtection="1">
      <protection hidden="1"/>
    </xf>
    <xf numFmtId="0" fontId="5" fillId="5" borderId="67" xfId="0" applyNumberFormat="1" applyFont="1" applyFill="1" applyBorder="1" applyAlignment="1" applyProtection="1">
      <protection hidden="1"/>
    </xf>
    <xf numFmtId="181" fontId="21" fillId="5" borderId="4" xfId="0" applyNumberFormat="1" applyFont="1" applyFill="1" applyBorder="1" applyAlignment="1" applyProtection="1">
      <alignment vertical="center"/>
      <protection hidden="1"/>
    </xf>
    <xf numFmtId="172" fontId="5" fillId="9" borderId="75" xfId="0" applyNumberFormat="1" applyFont="1" applyFill="1" applyBorder="1" applyProtection="1">
      <protection hidden="1"/>
    </xf>
    <xf numFmtId="0" fontId="2" fillId="9" borderId="34" xfId="0" applyFont="1" applyFill="1" applyBorder="1" applyAlignment="1" applyProtection="1">
      <alignment horizontal="left" vertical="center" indent="1"/>
      <protection hidden="1"/>
    </xf>
    <xf numFmtId="0" fontId="2" fillId="9" borderId="40" xfId="0" applyFont="1" applyFill="1" applyBorder="1" applyAlignment="1" applyProtection="1">
      <alignment horizontal="left" vertical="center" indent="1"/>
      <protection hidden="1"/>
    </xf>
    <xf numFmtId="0" fontId="5" fillId="9" borderId="51" xfId="0" applyFont="1" applyFill="1" applyBorder="1" applyProtection="1">
      <protection hidden="1"/>
    </xf>
    <xf numFmtId="172" fontId="5" fillId="9" borderId="32" xfId="0" applyNumberFormat="1" applyFont="1" applyFill="1" applyBorder="1" applyProtection="1">
      <protection hidden="1"/>
    </xf>
    <xf numFmtId="181" fontId="2" fillId="9" borderId="17" xfId="0" applyNumberFormat="1" applyFont="1" applyFill="1" applyBorder="1" applyAlignment="1" applyProtection="1">
      <alignment vertical="center"/>
      <protection hidden="1"/>
    </xf>
    <xf numFmtId="181" fontId="21" fillId="5" borderId="46" xfId="0" applyNumberFormat="1" applyFont="1" applyFill="1" applyBorder="1" applyAlignment="1" applyProtection="1">
      <alignment vertical="center"/>
      <protection hidden="1"/>
    </xf>
    <xf numFmtId="0" fontId="5" fillId="5" borderId="5" xfId="0" applyNumberFormat="1" applyFont="1" applyFill="1" applyBorder="1" applyAlignment="1" applyProtection="1">
      <protection hidden="1"/>
    </xf>
    <xf numFmtId="0" fontId="5" fillId="9" borderId="31" xfId="0" applyFont="1" applyFill="1" applyBorder="1" applyProtection="1">
      <protection hidden="1"/>
    </xf>
    <xf numFmtId="172" fontId="5" fillId="9" borderId="31" xfId="0" applyNumberFormat="1" applyFont="1" applyFill="1" applyBorder="1" applyProtection="1">
      <protection hidden="1"/>
    </xf>
    <xf numFmtId="0" fontId="5" fillId="9" borderId="13" xfId="0" applyFont="1" applyFill="1" applyBorder="1" applyProtection="1">
      <protection hidden="1"/>
    </xf>
    <xf numFmtId="172" fontId="5" fillId="9" borderId="13" xfId="0" applyNumberFormat="1" applyFont="1" applyFill="1" applyBorder="1" applyProtection="1">
      <protection hidden="1"/>
    </xf>
    <xf numFmtId="0" fontId="5" fillId="5" borderId="6" xfId="0" applyFont="1" applyFill="1" applyBorder="1" applyAlignment="1" applyProtection="1">
      <protection hidden="1"/>
    </xf>
    <xf numFmtId="172" fontId="2" fillId="5" borderId="7" xfId="0" applyNumberFormat="1" applyFont="1" applyFill="1" applyBorder="1" applyAlignment="1" applyProtection="1">
      <alignment horizontal="center" vertical="top" wrapText="1"/>
      <protection hidden="1"/>
    </xf>
    <xf numFmtId="172" fontId="2" fillId="5" borderId="8" xfId="0" applyNumberFormat="1" applyFont="1" applyFill="1" applyBorder="1" applyAlignment="1" applyProtection="1">
      <alignment horizontal="center" vertical="top" wrapText="1"/>
      <protection hidden="1"/>
    </xf>
    <xf numFmtId="181" fontId="2" fillId="9" borderId="11" xfId="0" applyNumberFormat="1" applyFont="1" applyFill="1" applyBorder="1" applyAlignment="1" applyProtection="1">
      <alignment vertical="center"/>
      <protection hidden="1"/>
    </xf>
    <xf numFmtId="181" fontId="2" fillId="9" borderId="33" xfId="0" applyNumberFormat="1" applyFont="1" applyFill="1" applyBorder="1" applyAlignment="1" applyProtection="1">
      <alignment vertical="center"/>
      <protection hidden="1"/>
    </xf>
    <xf numFmtId="0" fontId="5" fillId="9" borderId="2" xfId="0" applyNumberFormat="1" applyFont="1" applyFill="1" applyBorder="1" applyAlignment="1" applyProtection="1">
      <protection hidden="1"/>
    </xf>
    <xf numFmtId="0" fontId="5" fillId="0" borderId="0" xfId="0" applyNumberFormat="1" applyFont="1" applyAlignment="1" applyProtection="1">
      <protection hidden="1"/>
    </xf>
    <xf numFmtId="0" fontId="5" fillId="9" borderId="9" xfId="0" applyNumberFormat="1" applyFont="1" applyFill="1" applyBorder="1" applyAlignment="1" applyProtection="1">
      <protection hidden="1"/>
    </xf>
    <xf numFmtId="0" fontId="5" fillId="10" borderId="64" xfId="0" applyFont="1" applyFill="1" applyBorder="1" applyAlignment="1" applyProtection="1">
      <protection hidden="1"/>
    </xf>
    <xf numFmtId="0" fontId="5" fillId="9" borderId="61" xfId="0" applyFont="1" applyFill="1" applyBorder="1" applyProtection="1">
      <protection hidden="1"/>
    </xf>
    <xf numFmtId="172" fontId="5" fillId="9" borderId="61" xfId="0" applyNumberFormat="1" applyFont="1" applyFill="1" applyBorder="1" applyProtection="1">
      <protection hidden="1"/>
    </xf>
    <xf numFmtId="0" fontId="5" fillId="9" borderId="43" xfId="0" applyFont="1" applyFill="1" applyBorder="1" applyProtection="1">
      <protection hidden="1"/>
    </xf>
    <xf numFmtId="179" fontId="5" fillId="5" borderId="98" xfId="0" applyNumberFormat="1" applyFont="1" applyFill="1" applyBorder="1" applyAlignment="1" applyProtection="1">
      <alignment vertical="center"/>
      <protection hidden="1"/>
    </xf>
    <xf numFmtId="181" fontId="21" fillId="5" borderId="100" xfId="0" applyNumberFormat="1" applyFont="1" applyFill="1" applyBorder="1" applyAlignment="1" applyProtection="1">
      <alignment vertical="center"/>
      <protection hidden="1"/>
    </xf>
    <xf numFmtId="0" fontId="7" fillId="10" borderId="9" xfId="0" applyFont="1" applyFill="1" applyBorder="1" applyAlignment="1" applyProtection="1">
      <protection hidden="1"/>
    </xf>
    <xf numFmtId="0" fontId="30" fillId="10" borderId="9" xfId="0" applyFont="1" applyFill="1" applyBorder="1" applyAlignment="1" applyProtection="1">
      <protection hidden="1"/>
    </xf>
    <xf numFmtId="179" fontId="5" fillId="0" borderId="1" xfId="9" applyNumberFormat="1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left" vertical="center" indent="2"/>
      <protection hidden="1"/>
    </xf>
    <xf numFmtId="0" fontId="5" fillId="3" borderId="0" xfId="9" applyFont="1" applyFill="1" applyBorder="1" applyAlignment="1" applyProtection="1">
      <protection hidden="1"/>
    </xf>
    <xf numFmtId="0" fontId="2" fillId="2" borderId="10" xfId="0" applyFont="1" applyFill="1" applyBorder="1" applyAlignment="1" applyProtection="1">
      <alignment horizontal="left" vertical="center" indent="2"/>
      <protection hidden="1"/>
    </xf>
    <xf numFmtId="0" fontId="5" fillId="3" borderId="91" xfId="9" applyNumberFormat="1" applyFont="1" applyFill="1" applyBorder="1" applyAlignment="1" applyProtection="1">
      <protection hidden="1"/>
    </xf>
    <xf numFmtId="172" fontId="2" fillId="9" borderId="46" xfId="0" applyNumberFormat="1" applyFont="1" applyFill="1" applyBorder="1" applyAlignment="1" applyProtection="1">
      <alignment vertical="center"/>
      <protection hidden="1"/>
    </xf>
    <xf numFmtId="0" fontId="5" fillId="9" borderId="5" xfId="9" applyNumberFormat="1" applyFont="1" applyFill="1" applyBorder="1" applyAlignment="1" applyProtection="1">
      <protection hidden="1"/>
    </xf>
    <xf numFmtId="0" fontId="2" fillId="3" borderId="5" xfId="9" applyFont="1" applyFill="1" applyBorder="1" applyAlignment="1" applyProtection="1">
      <alignment horizontal="center" vertical="center" wrapText="1"/>
      <protection hidden="1"/>
    </xf>
    <xf numFmtId="179" fontId="2" fillId="3" borderId="101" xfId="9" applyNumberFormat="1" applyFont="1" applyFill="1" applyBorder="1" applyAlignment="1" applyProtection="1">
      <alignment vertical="center"/>
      <protection hidden="1"/>
    </xf>
    <xf numFmtId="176" fontId="6" fillId="0" borderId="7" xfId="5" applyNumberFormat="1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176" fontId="6" fillId="0" borderId="9" xfId="5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left" vertical="top" indent="1"/>
    </xf>
    <xf numFmtId="0" fontId="6" fillId="0" borderId="0" xfId="0" applyFont="1" applyFill="1" applyBorder="1" applyAlignment="1" applyProtection="1">
      <protection hidden="1"/>
    </xf>
    <xf numFmtId="0" fontId="7" fillId="0" borderId="2" xfId="0" applyFont="1" applyFill="1" applyBorder="1" applyAlignment="1">
      <alignment horizontal="left" indent="1"/>
    </xf>
    <xf numFmtId="0" fontId="6" fillId="0" borderId="0" xfId="0" applyFont="1" applyBorder="1" applyAlignment="1">
      <alignment horizontal="center" vertical="top" wrapText="1"/>
    </xf>
    <xf numFmtId="176" fontId="7" fillId="0" borderId="2" xfId="11" applyNumberFormat="1" applyFont="1" applyFill="1" applyBorder="1" applyAlignment="1"/>
    <xf numFmtId="176" fontId="7" fillId="0" borderId="2" xfId="0" applyNumberFormat="1" applyFont="1" applyFill="1" applyBorder="1" applyAlignment="1"/>
    <xf numFmtId="0" fontId="7" fillId="0" borderId="2" xfId="0" applyFont="1" applyBorder="1"/>
    <xf numFmtId="176" fontId="6" fillId="0" borderId="75" xfId="0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7" xfId="0" quotePrefix="1" applyFont="1" applyBorder="1" applyAlignment="1">
      <alignment horizontal="center" vertical="center"/>
    </xf>
    <xf numFmtId="176" fontId="7" fillId="0" borderId="74" xfId="11" applyNumberFormat="1" applyFont="1" applyFill="1" applyBorder="1" applyAlignment="1"/>
    <xf numFmtId="176" fontId="6" fillId="0" borderId="11" xfId="0" applyNumberFormat="1" applyFont="1" applyBorder="1"/>
    <xf numFmtId="176" fontId="7" fillId="0" borderId="6" xfId="11" applyNumberFormat="1" applyFont="1" applyFill="1" applyBorder="1" applyAlignment="1"/>
    <xf numFmtId="176" fontId="6" fillId="0" borderId="15" xfId="11" applyNumberFormat="1" applyFont="1" applyFill="1" applyBorder="1" applyAlignment="1">
      <alignment vertical="center"/>
    </xf>
    <xf numFmtId="176" fontId="6" fillId="0" borderId="17" xfId="0" applyNumberFormat="1" applyFont="1" applyBorder="1" applyAlignment="1">
      <alignment vertical="center"/>
    </xf>
    <xf numFmtId="176" fontId="7" fillId="0" borderId="5" xfId="4" applyNumberFormat="1" applyFont="1" applyFill="1" applyBorder="1" applyAlignment="1" applyProtection="1">
      <protection hidden="1"/>
    </xf>
    <xf numFmtId="0" fontId="7" fillId="0" borderId="7" xfId="4" applyFont="1" applyFill="1" applyBorder="1" applyProtection="1">
      <protection hidden="1"/>
    </xf>
    <xf numFmtId="176" fontId="7" fillId="0" borderId="7" xfId="4" applyNumberFormat="1" applyFont="1" applyFill="1" applyBorder="1" applyAlignment="1" applyProtection="1">
      <alignment vertical="center"/>
      <protection hidden="1"/>
    </xf>
    <xf numFmtId="176" fontId="6" fillId="0" borderId="7" xfId="4" applyNumberFormat="1" applyFont="1" applyFill="1" applyBorder="1" applyAlignment="1" applyProtection="1">
      <alignment vertical="center"/>
      <protection hidden="1"/>
    </xf>
    <xf numFmtId="176" fontId="7" fillId="0" borderId="7" xfId="4" applyNumberFormat="1" applyFont="1" applyFill="1" applyBorder="1" applyAlignment="1" applyProtection="1">
      <protection hidden="1"/>
    </xf>
    <xf numFmtId="176" fontId="6" fillId="0" borderId="13" xfId="4" applyNumberFormat="1" applyFont="1" applyFill="1" applyBorder="1" applyAlignment="1" applyProtection="1">
      <alignment vertical="center"/>
      <protection hidden="1"/>
    </xf>
    <xf numFmtId="0" fontId="7" fillId="0" borderId="0" xfId="4" applyNumberFormat="1" applyFont="1" applyFill="1" applyBorder="1" applyAlignment="1" applyProtection="1">
      <protection hidden="1"/>
    </xf>
    <xf numFmtId="0" fontId="6" fillId="0" borderId="74" xfId="0" applyFont="1" applyBorder="1" applyAlignment="1">
      <alignment horizontal="center" vertical="center"/>
    </xf>
    <xf numFmtId="0" fontId="6" fillId="0" borderId="37" xfId="8" quotePrefix="1" applyFont="1" applyBorder="1" applyAlignment="1">
      <alignment horizontal="center" vertical="center"/>
    </xf>
    <xf numFmtId="179" fontId="2" fillId="5" borderId="33" xfId="0" applyNumberFormat="1" applyFont="1" applyFill="1" applyBorder="1" applyAlignment="1" applyProtection="1">
      <alignment vertical="center"/>
      <protection hidden="1"/>
    </xf>
    <xf numFmtId="0" fontId="2" fillId="9" borderId="3" xfId="5" applyFont="1" applyFill="1" applyBorder="1" applyAlignment="1" applyProtection="1">
      <alignment horizontal="left" vertical="center" indent="1"/>
      <protection hidden="1"/>
    </xf>
    <xf numFmtId="0" fontId="5" fillId="5" borderId="1" xfId="0" applyNumberFormat="1" applyFont="1" applyFill="1" applyBorder="1" applyAlignment="1" applyProtection="1">
      <protection hidden="1"/>
    </xf>
    <xf numFmtId="179" fontId="5" fillId="5" borderId="94" xfId="0" applyNumberFormat="1" applyFont="1" applyFill="1" applyBorder="1" applyAlignment="1" applyProtection="1">
      <alignment vertical="center"/>
      <protection locked="0"/>
    </xf>
    <xf numFmtId="179" fontId="5" fillId="5" borderId="96" xfId="0" applyNumberFormat="1" applyFont="1" applyFill="1" applyBorder="1" applyAlignment="1" applyProtection="1">
      <alignment vertical="center"/>
      <protection locked="0"/>
    </xf>
    <xf numFmtId="179" fontId="5" fillId="5" borderId="99" xfId="0" applyNumberFormat="1" applyFont="1" applyFill="1" applyBorder="1" applyAlignment="1" applyProtection="1">
      <alignment vertical="center"/>
      <protection locked="0"/>
    </xf>
    <xf numFmtId="0" fontId="2" fillId="5" borderId="2" xfId="0" applyFont="1" applyFill="1" applyBorder="1" applyAlignment="1" applyProtection="1">
      <alignment horizontal="right" indent="1"/>
      <protection hidden="1"/>
    </xf>
    <xf numFmtId="0" fontId="5" fillId="9" borderId="2" xfId="0" applyFont="1" applyFill="1" applyBorder="1" applyAlignment="1" applyProtection="1">
      <alignment vertical="top" wrapText="1"/>
      <protection hidden="1"/>
    </xf>
    <xf numFmtId="0" fontId="5" fillId="0" borderId="0" xfId="0" applyFont="1" applyAlignment="1" applyProtection="1">
      <alignment vertical="top" wrapText="1"/>
      <protection hidden="1"/>
    </xf>
    <xf numFmtId="0" fontId="2" fillId="9" borderId="2" xfId="0" applyFont="1" applyFill="1" applyBorder="1" applyAlignment="1" applyProtection="1">
      <alignment vertical="top" wrapText="1"/>
      <protection hidden="1"/>
    </xf>
    <xf numFmtId="0" fontId="5" fillId="9" borderId="6" xfId="0" applyFont="1" applyFill="1" applyBorder="1" applyAlignment="1" applyProtection="1">
      <alignment vertical="top" wrapText="1"/>
      <protection hidden="1"/>
    </xf>
    <xf numFmtId="179" fontId="14" fillId="0" borderId="68" xfId="0" applyNumberFormat="1" applyFont="1" applyFill="1" applyBorder="1" applyAlignment="1" applyProtection="1">
      <alignment vertical="center"/>
      <protection locked="0"/>
    </xf>
    <xf numFmtId="179" fontId="14" fillId="0" borderId="95" xfId="0" applyNumberFormat="1" applyFont="1" applyFill="1" applyBorder="1" applyAlignment="1" applyProtection="1">
      <alignment vertical="center"/>
      <protection locked="0"/>
    </xf>
    <xf numFmtId="179" fontId="14" fillId="0" borderId="97" xfId="0" applyNumberFormat="1" applyFont="1" applyFill="1" applyBorder="1" applyAlignment="1" applyProtection="1">
      <alignment vertical="center"/>
      <protection locked="0"/>
    </xf>
    <xf numFmtId="178" fontId="7" fillId="0" borderId="0" xfId="0" applyNumberFormat="1" applyFont="1" applyAlignment="1">
      <alignment horizontal="center"/>
    </xf>
    <xf numFmtId="178" fontId="7" fillId="0" borderId="14" xfId="0" applyNumberFormat="1" applyFont="1" applyBorder="1" applyAlignment="1">
      <alignment horizontal="center" vertical="center"/>
    </xf>
    <xf numFmtId="178" fontId="7" fillId="0" borderId="5" xfId="0" applyNumberFormat="1" applyFont="1" applyBorder="1" applyAlignment="1">
      <alignment horizontal="center"/>
    </xf>
    <xf numFmtId="178" fontId="7" fillId="0" borderId="7" xfId="0" applyNumberFormat="1" applyFont="1" applyBorder="1" applyAlignment="1">
      <alignment horizontal="center"/>
    </xf>
    <xf numFmtId="178" fontId="7" fillId="0" borderId="13" xfId="0" applyNumberFormat="1" applyFont="1" applyBorder="1" applyAlignment="1">
      <alignment horizontal="center" vertical="center"/>
    </xf>
    <xf numFmtId="178" fontId="7" fillId="0" borderId="5" xfId="0" applyNumberFormat="1" applyFont="1" applyFill="1" applyBorder="1" applyAlignment="1" applyProtection="1">
      <alignment horizontal="center"/>
      <protection hidden="1"/>
    </xf>
    <xf numFmtId="178" fontId="7" fillId="0" borderId="13" xfId="0" applyNumberFormat="1" applyFont="1" applyFill="1" applyBorder="1" applyAlignment="1" applyProtection="1">
      <alignment horizontal="center"/>
      <protection hidden="1"/>
    </xf>
    <xf numFmtId="0" fontId="27" fillId="4" borderId="66" xfId="0" applyFont="1" applyFill="1" applyBorder="1" applyAlignment="1" applyProtection="1">
      <alignment horizontal="center" vertical="center"/>
      <protection hidden="1"/>
    </xf>
    <xf numFmtId="0" fontId="7" fillId="0" borderId="0" xfId="0" applyNumberFormat="1" applyFont="1" applyAlignment="1"/>
    <xf numFmtId="0" fontId="5" fillId="0" borderId="0" xfId="0" applyNumberFormat="1" applyFont="1" applyFill="1" applyProtection="1">
      <protection hidden="1"/>
    </xf>
    <xf numFmtId="176" fontId="7" fillId="0" borderId="1" xfId="11" applyNumberFormat="1" applyFont="1" applyFill="1" applyBorder="1" applyAlignment="1"/>
    <xf numFmtId="176" fontId="6" fillId="0" borderId="75" xfId="11" applyNumberFormat="1" applyFont="1" applyFill="1" applyBorder="1" applyAlignment="1">
      <alignment vertical="center"/>
    </xf>
    <xf numFmtId="0" fontId="6" fillId="0" borderId="9" xfId="0" applyFont="1" applyBorder="1" applyAlignment="1">
      <alignment horizontal="center" vertical="top" wrapText="1"/>
    </xf>
    <xf numFmtId="176" fontId="6" fillId="0" borderId="75" xfId="0" applyNumberFormat="1" applyFont="1" applyBorder="1" applyAlignment="1">
      <alignment vertical="center"/>
    </xf>
    <xf numFmtId="0" fontId="2" fillId="2" borderId="10" xfId="0" applyFont="1" applyFill="1" applyBorder="1" applyAlignment="1" applyProtection="1">
      <alignment horizontal="left" vertical="center" indent="1"/>
      <protection hidden="1"/>
    </xf>
    <xf numFmtId="0" fontId="5" fillId="3" borderId="51" xfId="9" applyFont="1" applyFill="1" applyBorder="1" applyAlignment="1" applyProtection="1">
      <protection hidden="1"/>
    </xf>
    <xf numFmtId="0" fontId="2" fillId="3" borderId="7" xfId="9" applyFont="1" applyFill="1" applyBorder="1" applyAlignment="1" applyProtection="1">
      <alignment horizontal="center" vertical="top" wrapText="1"/>
      <protection hidden="1"/>
    </xf>
    <xf numFmtId="0" fontId="2" fillId="3" borderId="5" xfId="9" applyFont="1" applyFill="1" applyBorder="1" applyAlignment="1" applyProtection="1">
      <alignment horizontal="center" vertical="top"/>
      <protection hidden="1"/>
    </xf>
    <xf numFmtId="0" fontId="5" fillId="3" borderId="74" xfId="9" applyFont="1" applyFill="1" applyBorder="1" applyAlignment="1" applyProtection="1">
      <protection hidden="1"/>
    </xf>
    <xf numFmtId="0" fontId="5" fillId="3" borderId="27" xfId="9" applyFont="1" applyFill="1" applyBorder="1" applyProtection="1">
      <protection hidden="1"/>
    </xf>
    <xf numFmtId="0" fontId="2" fillId="3" borderId="1" xfId="9" applyFont="1" applyFill="1" applyBorder="1" applyAlignment="1" applyProtection="1">
      <alignment horizontal="center" vertical="top"/>
      <protection hidden="1"/>
    </xf>
    <xf numFmtId="0" fontId="2" fillId="3" borderId="28" xfId="9" applyFont="1" applyFill="1" applyBorder="1" applyAlignment="1" applyProtection="1">
      <alignment horizontal="center" vertical="top" wrapText="1"/>
      <protection hidden="1"/>
    </xf>
    <xf numFmtId="172" fontId="2" fillId="2" borderId="28" xfId="0" applyNumberFormat="1" applyFont="1" applyFill="1" applyBorder="1" applyAlignment="1" applyProtection="1">
      <alignment horizontal="center" vertical="top"/>
      <protection hidden="1"/>
    </xf>
    <xf numFmtId="172" fontId="2" fillId="2" borderId="43" xfId="0" applyNumberFormat="1" applyFont="1" applyFill="1" applyBorder="1" applyAlignment="1" applyProtection="1">
      <alignment horizontal="center" vertical="top"/>
      <protection hidden="1"/>
    </xf>
    <xf numFmtId="172" fontId="2" fillId="2" borderId="38" xfId="0" applyNumberFormat="1" applyFont="1" applyFill="1" applyBorder="1" applyAlignment="1" applyProtection="1">
      <alignment horizontal="center" vertical="top"/>
      <protection hidden="1"/>
    </xf>
    <xf numFmtId="0" fontId="5" fillId="9" borderId="59" xfId="9" applyNumberFormat="1" applyFont="1" applyFill="1" applyBorder="1" applyAlignment="1" applyProtection="1">
      <protection hidden="1"/>
    </xf>
    <xf numFmtId="0" fontId="5" fillId="9" borderId="0" xfId="9" applyNumberFormat="1" applyFont="1" applyFill="1" applyBorder="1" applyAlignment="1" applyProtection="1">
      <protection hidden="1"/>
    </xf>
    <xf numFmtId="0" fontId="2" fillId="3" borderId="5" xfId="9" applyFont="1" applyFill="1" applyBorder="1" applyAlignment="1" applyProtection="1">
      <alignment horizontal="center" vertical="top" wrapText="1"/>
      <protection hidden="1"/>
    </xf>
    <xf numFmtId="0" fontId="5" fillId="9" borderId="29" xfId="9" applyFont="1" applyFill="1" applyBorder="1" applyProtection="1">
      <protection hidden="1"/>
    </xf>
    <xf numFmtId="0" fontId="5" fillId="2" borderId="0" xfId="9" applyNumberFormat="1" applyFont="1" applyFill="1" applyBorder="1" applyAlignment="1" applyProtection="1">
      <protection hidden="1"/>
    </xf>
    <xf numFmtId="0" fontId="5" fillId="2" borderId="0" xfId="0" applyNumberFormat="1" applyFont="1" applyFill="1" applyBorder="1" applyAlignment="1" applyProtection="1">
      <protection hidden="1"/>
    </xf>
    <xf numFmtId="0" fontId="5" fillId="2" borderId="0" xfId="0" quotePrefix="1" applyNumberFormat="1" applyFont="1" applyFill="1" applyBorder="1" applyAlignment="1" applyProtection="1">
      <protection hidden="1"/>
    </xf>
    <xf numFmtId="0" fontId="2" fillId="4" borderId="0" xfId="9" applyFont="1" applyFill="1" applyBorder="1" applyAlignment="1" applyProtection="1">
      <alignment horizontal="right" vertical="top"/>
      <protection hidden="1"/>
    </xf>
    <xf numFmtId="0" fontId="5" fillId="4" borderId="0" xfId="9" applyFont="1" applyFill="1" applyBorder="1" applyAlignment="1" applyProtection="1">
      <alignment vertical="center"/>
      <protection hidden="1"/>
    </xf>
    <xf numFmtId="0" fontId="5" fillId="4" borderId="0" xfId="9" applyFont="1" applyFill="1" applyBorder="1" applyAlignment="1" applyProtection="1">
      <alignment horizontal="center" vertical="center"/>
      <protection hidden="1"/>
    </xf>
    <xf numFmtId="0" fontId="5" fillId="4" borderId="0" xfId="9" applyFont="1" applyFill="1" applyBorder="1" applyAlignment="1" applyProtection="1">
      <alignment horizontal="centerContinuous" vertical="center"/>
      <protection hidden="1"/>
    </xf>
    <xf numFmtId="0" fontId="2" fillId="5" borderId="8" xfId="0" applyFont="1" applyFill="1" applyBorder="1" applyAlignment="1" applyProtection="1">
      <alignment horizontal="left" vertical="center"/>
      <protection hidden="1"/>
    </xf>
    <xf numFmtId="0" fontId="5" fillId="9" borderId="58" xfId="9" applyNumberFormat="1" applyFont="1" applyFill="1" applyBorder="1" applyAlignment="1" applyProtection="1">
      <protection hidden="1"/>
    </xf>
    <xf numFmtId="0" fontId="5" fillId="3" borderId="9" xfId="9" applyFont="1" applyFill="1" applyBorder="1" applyAlignment="1" applyProtection="1">
      <protection hidden="1"/>
    </xf>
    <xf numFmtId="181" fontId="2" fillId="3" borderId="53" xfId="9" applyNumberFormat="1" applyFont="1" applyFill="1" applyBorder="1" applyAlignment="1" applyProtection="1">
      <alignment vertical="center"/>
      <protection hidden="1"/>
    </xf>
    <xf numFmtId="2" fontId="7" fillId="2" borderId="0" xfId="0" quotePrefix="1" applyNumberFormat="1" applyFont="1" applyFill="1" applyBorder="1" applyAlignment="1" applyProtection="1">
      <alignment horizontal="center" vertical="center"/>
      <protection hidden="1"/>
    </xf>
    <xf numFmtId="2" fontId="7" fillId="2" borderId="0" xfId="0" applyNumberFormat="1" applyFont="1" applyFill="1" applyBorder="1" applyAlignment="1" applyProtection="1">
      <alignment horizontal="center" vertical="center"/>
      <protection hidden="1"/>
    </xf>
    <xf numFmtId="2" fontId="7" fillId="2" borderId="53" xfId="0" quotePrefix="1" applyNumberFormat="1" applyFont="1" applyFill="1" applyBorder="1" applyAlignment="1" applyProtection="1">
      <alignment horizontal="center" vertical="center"/>
      <protection hidden="1"/>
    </xf>
    <xf numFmtId="2" fontId="7" fillId="2" borderId="52" xfId="0" applyNumberFormat="1" applyFont="1" applyFill="1" applyBorder="1" applyAlignment="1" applyProtection="1">
      <alignment horizontal="center" vertical="center"/>
      <protection hidden="1"/>
    </xf>
    <xf numFmtId="0" fontId="7" fillId="9" borderId="0" xfId="0" applyNumberFormat="1" applyFont="1" applyFill="1" applyBorder="1" applyAlignment="1" applyProtection="1">
      <protection hidden="1"/>
    </xf>
    <xf numFmtId="0" fontId="7" fillId="9" borderId="0" xfId="0" quotePrefix="1" applyNumberFormat="1" applyFont="1" applyFill="1" applyBorder="1" applyAlignment="1" applyProtection="1">
      <protection hidden="1"/>
    </xf>
    <xf numFmtId="0" fontId="2" fillId="3" borderId="6" xfId="9" applyFont="1" applyFill="1" applyBorder="1" applyAlignment="1" applyProtection="1">
      <alignment horizontal="left" vertical="center" indent="1"/>
      <protection hidden="1"/>
    </xf>
    <xf numFmtId="0" fontId="5" fillId="3" borderId="6" xfId="9" applyFont="1" applyFill="1" applyBorder="1" applyAlignment="1" applyProtection="1">
      <protection hidden="1"/>
    </xf>
    <xf numFmtId="0" fontId="5" fillId="3" borderId="6" xfId="9" applyFont="1" applyFill="1" applyBorder="1" applyProtection="1">
      <protection hidden="1"/>
    </xf>
    <xf numFmtId="172" fontId="2" fillId="6" borderId="0" xfId="0" applyNumberFormat="1" applyFont="1" applyFill="1" applyBorder="1" applyAlignment="1" applyProtection="1">
      <alignment horizontal="right" vertical="center" indent="1"/>
      <protection hidden="1"/>
    </xf>
    <xf numFmtId="0" fontId="9" fillId="6" borderId="0" xfId="0" applyFont="1" applyFill="1" applyBorder="1" applyAlignment="1" applyProtection="1">
      <protection hidden="1"/>
    </xf>
    <xf numFmtId="0" fontId="2" fillId="7" borderId="7" xfId="0" applyFont="1" applyFill="1" applyBorder="1" applyAlignment="1" applyProtection="1">
      <alignment horizontal="center" vertical="center" wrapText="1"/>
      <protection hidden="1"/>
    </xf>
    <xf numFmtId="177" fontId="5" fillId="7" borderId="21" xfId="4" applyNumberFormat="1" applyFont="1" applyFill="1" applyBorder="1" applyAlignment="1" applyProtection="1">
      <alignment vertical="center"/>
      <protection hidden="1"/>
    </xf>
    <xf numFmtId="177" fontId="5" fillId="7" borderId="23" xfId="4" applyNumberFormat="1" applyFont="1" applyFill="1" applyBorder="1" applyAlignment="1" applyProtection="1">
      <alignment vertical="center"/>
      <protection hidden="1"/>
    </xf>
    <xf numFmtId="0" fontId="5" fillId="7" borderId="10" xfId="4" applyFont="1" applyFill="1" applyBorder="1" applyProtection="1">
      <protection hidden="1"/>
    </xf>
    <xf numFmtId="177" fontId="2" fillId="7" borderId="10" xfId="4" applyNumberFormat="1" applyFont="1" applyFill="1" applyBorder="1" applyAlignment="1" applyProtection="1">
      <alignment vertical="center"/>
      <protection hidden="1"/>
    </xf>
    <xf numFmtId="177" fontId="2" fillId="7" borderId="11" xfId="4" applyNumberFormat="1" applyFont="1" applyFill="1" applyBorder="1" applyAlignment="1" applyProtection="1">
      <alignment vertical="center"/>
      <protection hidden="1"/>
    </xf>
    <xf numFmtId="177" fontId="2" fillId="7" borderId="34" xfId="4" applyNumberFormat="1" applyFont="1" applyFill="1" applyBorder="1" applyAlignment="1" applyProtection="1">
      <alignment vertical="center"/>
      <protection hidden="1"/>
    </xf>
    <xf numFmtId="177" fontId="2" fillId="7" borderId="17" xfId="4" applyNumberFormat="1" applyFont="1" applyFill="1" applyBorder="1" applyAlignment="1" applyProtection="1">
      <alignment vertical="center"/>
      <protection hidden="1"/>
    </xf>
    <xf numFmtId="177" fontId="5" fillId="7" borderId="22" xfId="4" applyNumberFormat="1" applyFont="1" applyFill="1" applyBorder="1" applyAlignment="1" applyProtection="1">
      <alignment vertical="center"/>
      <protection hidden="1"/>
    </xf>
    <xf numFmtId="177" fontId="2" fillId="7" borderId="7" xfId="4" applyNumberFormat="1" applyFont="1" applyFill="1" applyBorder="1" applyAlignment="1" applyProtection="1">
      <alignment vertical="center"/>
      <protection hidden="1"/>
    </xf>
    <xf numFmtId="177" fontId="2" fillId="7" borderId="13" xfId="4" applyNumberFormat="1" applyFont="1" applyFill="1" applyBorder="1" applyAlignment="1" applyProtection="1">
      <alignment vertical="center"/>
      <protection hidden="1"/>
    </xf>
    <xf numFmtId="0" fontId="5" fillId="7" borderId="21" xfId="4" applyFont="1" applyFill="1" applyBorder="1" applyProtection="1">
      <protection hidden="1"/>
    </xf>
    <xf numFmtId="0" fontId="5" fillId="7" borderId="23" xfId="4" applyFont="1" applyFill="1" applyBorder="1" applyProtection="1">
      <protection hidden="1"/>
    </xf>
    <xf numFmtId="177" fontId="5" fillId="7" borderId="40" xfId="4" applyNumberFormat="1" applyFont="1" applyFill="1" applyBorder="1" applyAlignment="1" applyProtection="1">
      <alignment vertical="center"/>
      <protection hidden="1"/>
    </xf>
    <xf numFmtId="177" fontId="5" fillId="7" borderId="31" xfId="4" applyNumberFormat="1" applyFont="1" applyFill="1" applyBorder="1" applyAlignment="1" applyProtection="1">
      <alignment vertical="center"/>
      <protection hidden="1"/>
    </xf>
    <xf numFmtId="177" fontId="5" fillId="7" borderId="35" xfId="4" applyNumberFormat="1" applyFont="1" applyFill="1" applyBorder="1" applyAlignment="1" applyProtection="1">
      <alignment vertical="center"/>
      <protection hidden="1"/>
    </xf>
    <xf numFmtId="172" fontId="2" fillId="11" borderId="0" xfId="0" applyNumberFormat="1" applyFont="1" applyFill="1" applyBorder="1" applyAlignment="1" applyProtection="1">
      <alignment horizontal="right" vertical="center" indent="1"/>
      <protection hidden="1"/>
    </xf>
    <xf numFmtId="172" fontId="2" fillId="11" borderId="0" xfId="0" applyNumberFormat="1" applyFont="1" applyFill="1" applyBorder="1" applyAlignment="1" applyProtection="1">
      <alignment vertical="center" wrapText="1"/>
      <protection hidden="1"/>
    </xf>
    <xf numFmtId="0" fontId="9" fillId="11" borderId="0" xfId="0" applyFont="1" applyFill="1" applyBorder="1" applyAlignment="1" applyProtection="1">
      <protection hidden="1"/>
    </xf>
    <xf numFmtId="0" fontId="10" fillId="11" borderId="0" xfId="0" applyFont="1" applyFill="1" applyBorder="1" applyAlignment="1" applyProtection="1">
      <alignment vertical="center"/>
      <protection hidden="1"/>
    </xf>
    <xf numFmtId="0" fontId="10" fillId="11" borderId="0" xfId="0" applyFont="1" applyFill="1" applyBorder="1" applyAlignment="1" applyProtection="1">
      <protection hidden="1"/>
    </xf>
    <xf numFmtId="0" fontId="5" fillId="12" borderId="0" xfId="4" applyFont="1" applyFill="1" applyBorder="1" applyProtection="1">
      <protection hidden="1"/>
    </xf>
    <xf numFmtId="0" fontId="2" fillId="12" borderId="10" xfId="0" applyFont="1" applyFill="1" applyBorder="1" applyAlignment="1" applyProtection="1">
      <alignment horizontal="center" vertical="center" wrapText="1"/>
      <protection hidden="1"/>
    </xf>
    <xf numFmtId="0" fontId="2" fillId="12" borderId="7" xfId="0" applyFont="1" applyFill="1" applyBorder="1" applyAlignment="1" applyProtection="1">
      <alignment horizontal="center" vertical="center" wrapText="1"/>
      <protection hidden="1"/>
    </xf>
    <xf numFmtId="0" fontId="2" fillId="12" borderId="11" xfId="0" applyFont="1" applyFill="1" applyBorder="1" applyAlignment="1" applyProtection="1">
      <alignment horizontal="center" vertical="center" wrapText="1"/>
      <protection hidden="1"/>
    </xf>
    <xf numFmtId="0" fontId="2" fillId="12" borderId="34" xfId="0" quotePrefix="1" applyFont="1" applyFill="1" applyBorder="1" applyAlignment="1" applyProtection="1">
      <alignment horizontal="center" vertical="center" wrapText="1"/>
      <protection hidden="1"/>
    </xf>
    <xf numFmtId="0" fontId="2" fillId="12" borderId="13" xfId="0" quotePrefix="1" applyFont="1" applyFill="1" applyBorder="1" applyAlignment="1" applyProtection="1">
      <alignment horizontal="center" vertical="center" wrapText="1"/>
      <protection hidden="1"/>
    </xf>
    <xf numFmtId="0" fontId="2" fillId="12" borderId="17" xfId="0" quotePrefix="1" applyFont="1" applyFill="1" applyBorder="1" applyAlignment="1" applyProtection="1">
      <alignment horizontal="center" vertical="center" wrapText="1"/>
      <protection hidden="1"/>
    </xf>
    <xf numFmtId="181" fontId="5" fillId="12" borderId="47" xfId="4" applyNumberFormat="1" applyFont="1" applyFill="1" applyBorder="1" applyAlignment="1" applyProtection="1">
      <alignment vertical="center"/>
      <protection hidden="1"/>
    </xf>
    <xf numFmtId="181" fontId="5" fillId="12" borderId="20" xfId="4" applyNumberFormat="1" applyFont="1" applyFill="1" applyBorder="1" applyAlignment="1" applyProtection="1">
      <alignment vertical="center"/>
      <protection hidden="1"/>
    </xf>
    <xf numFmtId="181" fontId="2" fillId="12" borderId="49" xfId="4" applyNumberFormat="1" applyFont="1" applyFill="1" applyBorder="1" applyAlignment="1" applyProtection="1">
      <alignment vertical="center"/>
      <protection hidden="1"/>
    </xf>
    <xf numFmtId="177" fontId="5" fillId="12" borderId="21" xfId="4" applyNumberFormat="1" applyFont="1" applyFill="1" applyBorder="1" applyAlignment="1" applyProtection="1">
      <alignment vertical="center"/>
      <protection hidden="1"/>
    </xf>
    <xf numFmtId="177" fontId="5" fillId="12" borderId="22" xfId="4" applyNumberFormat="1" applyFont="1" applyFill="1" applyBorder="1" applyAlignment="1" applyProtection="1">
      <alignment vertical="center"/>
      <protection hidden="1"/>
    </xf>
    <xf numFmtId="177" fontId="5" fillId="12" borderId="23" xfId="4" applyNumberFormat="1" applyFont="1" applyFill="1" applyBorder="1" applyAlignment="1" applyProtection="1">
      <alignment vertical="center"/>
      <protection hidden="1"/>
    </xf>
    <xf numFmtId="0" fontId="5" fillId="12" borderId="24" xfId="4" applyFont="1" applyFill="1" applyBorder="1" applyProtection="1">
      <protection hidden="1"/>
    </xf>
    <xf numFmtId="0" fontId="5" fillId="12" borderId="22" xfId="4" applyFont="1" applyFill="1" applyBorder="1" applyProtection="1">
      <protection hidden="1"/>
    </xf>
    <xf numFmtId="0" fontId="5" fillId="12" borderId="25" xfId="4" applyFont="1" applyFill="1" applyBorder="1" applyProtection="1">
      <protection hidden="1"/>
    </xf>
    <xf numFmtId="0" fontId="5" fillId="12" borderId="21" xfId="4" applyFont="1" applyFill="1" applyBorder="1" applyProtection="1">
      <protection hidden="1"/>
    </xf>
    <xf numFmtId="0" fontId="5" fillId="12" borderId="23" xfId="4" applyFont="1" applyFill="1" applyBorder="1" applyProtection="1">
      <protection hidden="1"/>
    </xf>
    <xf numFmtId="0" fontId="5" fillId="12" borderId="6" xfId="4" applyFont="1" applyFill="1" applyBorder="1" applyProtection="1">
      <protection hidden="1"/>
    </xf>
    <xf numFmtId="0" fontId="5" fillId="12" borderId="7" xfId="4" applyFont="1" applyFill="1" applyBorder="1" applyProtection="1">
      <protection hidden="1"/>
    </xf>
    <xf numFmtId="0" fontId="5" fillId="12" borderId="29" xfId="4" applyFont="1" applyFill="1" applyBorder="1" applyProtection="1">
      <protection hidden="1"/>
    </xf>
    <xf numFmtId="0" fontId="5" fillId="12" borderId="10" xfId="4" applyFont="1" applyFill="1" applyBorder="1" applyProtection="1">
      <protection hidden="1"/>
    </xf>
    <xf numFmtId="0" fontId="5" fillId="12" borderId="11" xfId="4" applyFont="1" applyFill="1" applyBorder="1" applyProtection="1">
      <protection hidden="1"/>
    </xf>
    <xf numFmtId="181" fontId="5" fillId="12" borderId="40" xfId="4" applyNumberFormat="1" applyFont="1" applyFill="1" applyBorder="1" applyAlignment="1" applyProtection="1">
      <alignment vertical="center"/>
      <protection hidden="1"/>
    </xf>
    <xf numFmtId="181" fontId="5" fillId="12" borderId="31" xfId="4" applyNumberFormat="1" applyFont="1" applyFill="1" applyBorder="1" applyAlignment="1" applyProtection="1">
      <alignment vertical="center"/>
      <protection hidden="1"/>
    </xf>
    <xf numFmtId="181" fontId="2" fillId="12" borderId="33" xfId="4" applyNumberFormat="1" applyFont="1" applyFill="1" applyBorder="1" applyAlignment="1" applyProtection="1">
      <alignment vertical="center"/>
      <protection hidden="1"/>
    </xf>
    <xf numFmtId="177" fontId="5" fillId="12" borderId="40" xfId="4" applyNumberFormat="1" applyFont="1" applyFill="1" applyBorder="1" applyAlignment="1" applyProtection="1">
      <alignment vertical="center"/>
      <protection hidden="1"/>
    </xf>
    <xf numFmtId="177" fontId="5" fillId="12" borderId="31" xfId="4" applyNumberFormat="1" applyFont="1" applyFill="1" applyBorder="1" applyAlignment="1" applyProtection="1">
      <alignment vertical="center"/>
      <protection hidden="1"/>
    </xf>
    <xf numFmtId="177" fontId="5" fillId="12" borderId="35" xfId="4" applyNumberFormat="1" applyFont="1" applyFill="1" applyBorder="1" applyAlignment="1" applyProtection="1">
      <alignment vertical="center"/>
      <protection hidden="1"/>
    </xf>
    <xf numFmtId="181" fontId="5" fillId="12" borderId="10" xfId="4" applyNumberFormat="1" applyFont="1" applyFill="1" applyBorder="1" applyAlignment="1" applyProtection="1">
      <alignment vertical="center"/>
      <protection hidden="1"/>
    </xf>
    <xf numFmtId="181" fontId="5" fillId="12" borderId="7" xfId="4" applyNumberFormat="1" applyFont="1" applyFill="1" applyBorder="1" applyAlignment="1" applyProtection="1">
      <alignment vertical="center"/>
      <protection hidden="1"/>
    </xf>
    <xf numFmtId="181" fontId="2" fillId="12" borderId="56" xfId="4" applyNumberFormat="1" applyFont="1" applyFill="1" applyBorder="1" applyAlignment="1" applyProtection="1">
      <alignment vertical="center"/>
      <protection hidden="1"/>
    </xf>
    <xf numFmtId="181" fontId="2" fillId="12" borderId="50" xfId="4" applyNumberFormat="1" applyFont="1" applyFill="1" applyBorder="1" applyAlignment="1" applyProtection="1">
      <alignment vertical="center"/>
      <protection hidden="1"/>
    </xf>
    <xf numFmtId="181" fontId="2" fillId="12" borderId="52" xfId="4" applyNumberFormat="1" applyFont="1" applyFill="1" applyBorder="1" applyAlignment="1" applyProtection="1">
      <alignment vertical="center"/>
      <protection hidden="1"/>
    </xf>
    <xf numFmtId="177" fontId="2" fillId="12" borderId="34" xfId="4" applyNumberFormat="1" applyFont="1" applyFill="1" applyBorder="1" applyAlignment="1" applyProtection="1">
      <alignment vertical="center"/>
      <protection hidden="1"/>
    </xf>
    <xf numFmtId="177" fontId="2" fillId="12" borderId="13" xfId="4" applyNumberFormat="1" applyFont="1" applyFill="1" applyBorder="1" applyAlignment="1" applyProtection="1">
      <alignment vertical="center"/>
      <protection hidden="1"/>
    </xf>
    <xf numFmtId="177" fontId="2" fillId="12" borderId="17" xfId="4" applyNumberFormat="1" applyFont="1" applyFill="1" applyBorder="1" applyAlignment="1" applyProtection="1">
      <alignment vertical="center"/>
      <protection hidden="1"/>
    </xf>
    <xf numFmtId="0" fontId="5" fillId="12" borderId="8" xfId="4" applyFont="1" applyFill="1" applyBorder="1" applyProtection="1">
      <protection hidden="1"/>
    </xf>
    <xf numFmtId="181" fontId="2" fillId="12" borderId="15" xfId="4" applyNumberFormat="1" applyFont="1" applyFill="1" applyBorder="1" applyAlignment="1" applyProtection="1">
      <alignment vertical="center"/>
      <protection hidden="1"/>
    </xf>
    <xf numFmtId="181" fontId="2" fillId="12" borderId="13" xfId="4" applyNumberFormat="1" applyFont="1" applyFill="1" applyBorder="1" applyAlignment="1" applyProtection="1">
      <alignment vertical="center"/>
      <protection hidden="1"/>
    </xf>
    <xf numFmtId="177" fontId="2" fillId="12" borderId="10" xfId="4" applyNumberFormat="1" applyFont="1" applyFill="1" applyBorder="1" applyAlignment="1" applyProtection="1">
      <alignment vertical="center"/>
      <protection hidden="1"/>
    </xf>
    <xf numFmtId="177" fontId="2" fillId="12" borderId="7" xfId="4" applyNumberFormat="1" applyFont="1" applyFill="1" applyBorder="1" applyAlignment="1" applyProtection="1">
      <alignment vertical="center"/>
      <protection hidden="1"/>
    </xf>
    <xf numFmtId="177" fontId="2" fillId="12" borderId="11" xfId="4" applyNumberFormat="1" applyFont="1" applyFill="1" applyBorder="1" applyAlignment="1" applyProtection="1">
      <alignment vertical="center"/>
      <protection hidden="1"/>
    </xf>
    <xf numFmtId="0" fontId="5" fillId="12" borderId="30" xfId="4" applyFont="1" applyFill="1" applyBorder="1" applyProtection="1">
      <protection hidden="1"/>
    </xf>
    <xf numFmtId="0" fontId="5" fillId="12" borderId="31" xfId="4" applyFont="1" applyFill="1" applyBorder="1" applyProtection="1">
      <protection hidden="1"/>
    </xf>
    <xf numFmtId="0" fontId="5" fillId="12" borderId="33" xfId="4" applyFont="1" applyFill="1" applyBorder="1" applyProtection="1">
      <protection hidden="1"/>
    </xf>
    <xf numFmtId="181" fontId="2" fillId="12" borderId="27" xfId="4" applyNumberFormat="1" applyFont="1" applyFill="1" applyBorder="1" applyAlignment="1" applyProtection="1">
      <alignment vertical="center"/>
      <protection hidden="1"/>
    </xf>
    <xf numFmtId="181" fontId="2" fillId="12" borderId="19" xfId="4" applyNumberFormat="1" applyFont="1" applyFill="1" applyBorder="1" applyAlignment="1" applyProtection="1">
      <alignment vertical="center"/>
      <protection hidden="1"/>
    </xf>
    <xf numFmtId="181" fontId="2" fillId="12" borderId="20" xfId="4" applyNumberFormat="1" applyFont="1" applyFill="1" applyBorder="1" applyAlignment="1" applyProtection="1">
      <alignment vertical="center"/>
      <protection hidden="1"/>
    </xf>
    <xf numFmtId="181" fontId="5" fillId="12" borderId="0" xfId="4" applyNumberFormat="1" applyFont="1" applyFill="1" applyBorder="1" applyAlignment="1" applyProtection="1">
      <protection hidden="1"/>
    </xf>
    <xf numFmtId="172" fontId="2" fillId="6" borderId="2" xfId="0" applyNumberFormat="1" applyFont="1" applyFill="1" applyBorder="1" applyAlignment="1" applyProtection="1">
      <alignment horizontal="right" vertical="center" indent="1"/>
      <protection hidden="1"/>
    </xf>
    <xf numFmtId="172" fontId="2" fillId="6" borderId="2" xfId="0" applyNumberFormat="1" applyFont="1" applyFill="1" applyBorder="1" applyAlignment="1" applyProtection="1">
      <alignment vertical="center" wrapText="1"/>
      <protection hidden="1"/>
    </xf>
    <xf numFmtId="0" fontId="9" fillId="6" borderId="2" xfId="0" applyFont="1" applyFill="1" applyBorder="1" applyAlignment="1" applyProtection="1">
      <protection hidden="1"/>
    </xf>
    <xf numFmtId="0" fontId="10" fillId="6" borderId="2" xfId="0" applyFont="1" applyFill="1" applyBorder="1" applyAlignment="1" applyProtection="1">
      <alignment vertical="center"/>
      <protection hidden="1"/>
    </xf>
    <xf numFmtId="0" fontId="10" fillId="6" borderId="2" xfId="0" applyFont="1" applyFill="1" applyBorder="1" applyAlignment="1" applyProtection="1">
      <protection hidden="1"/>
    </xf>
    <xf numFmtId="0" fontId="5" fillId="7" borderId="9" xfId="4" applyFont="1" applyFill="1" applyBorder="1" applyProtection="1">
      <protection hidden="1"/>
    </xf>
    <xf numFmtId="0" fontId="5" fillId="7" borderId="2" xfId="4" applyFont="1" applyFill="1" applyBorder="1" applyProtection="1">
      <protection hidden="1"/>
    </xf>
    <xf numFmtId="172" fontId="31" fillId="11" borderId="4" xfId="0" applyNumberFormat="1" applyFont="1" applyFill="1" applyBorder="1" applyAlignment="1" applyProtection="1">
      <alignment horizontal="center" vertical="top" wrapText="1"/>
      <protection hidden="1"/>
    </xf>
    <xf numFmtId="0" fontId="32" fillId="12" borderId="8" xfId="0" applyFont="1" applyFill="1" applyBorder="1" applyAlignment="1" applyProtection="1">
      <alignment horizontal="center" vertical="top" wrapText="1"/>
      <protection hidden="1"/>
    </xf>
    <xf numFmtId="0" fontId="33" fillId="12" borderId="6" xfId="0" applyFont="1" applyFill="1" applyBorder="1" applyAlignment="1" applyProtection="1">
      <alignment horizontal="center" vertical="top" wrapText="1"/>
      <protection hidden="1"/>
    </xf>
    <xf numFmtId="0" fontId="33" fillId="12" borderId="7" xfId="0" applyFont="1" applyFill="1" applyBorder="1" applyAlignment="1" applyProtection="1">
      <alignment horizontal="center" vertical="top" wrapText="1"/>
      <protection hidden="1"/>
    </xf>
    <xf numFmtId="0" fontId="33" fillId="12" borderId="8" xfId="0" applyFont="1" applyFill="1" applyBorder="1" applyAlignment="1" applyProtection="1">
      <alignment horizontal="center" vertical="top" wrapText="1"/>
      <protection hidden="1"/>
    </xf>
    <xf numFmtId="0" fontId="2" fillId="7" borderId="15" xfId="0" quotePrefix="1" applyFont="1" applyFill="1" applyBorder="1" applyAlignment="1" applyProtection="1">
      <alignment horizontal="center" vertical="center" wrapText="1"/>
      <protection hidden="1"/>
    </xf>
    <xf numFmtId="0" fontId="2" fillId="7" borderId="16" xfId="0" quotePrefix="1" applyFont="1" applyFill="1" applyBorder="1" applyAlignment="1" applyProtection="1">
      <alignment horizontal="center" vertical="center" wrapText="1"/>
      <protection hidden="1"/>
    </xf>
    <xf numFmtId="0" fontId="5" fillId="5" borderId="52" xfId="4" applyNumberFormat="1" applyFont="1" applyFill="1" applyBorder="1" applyAlignment="1" applyProtection="1">
      <protection hidden="1"/>
    </xf>
    <xf numFmtId="0" fontId="5" fillId="5" borderId="49" xfId="4" applyNumberFormat="1" applyFont="1" applyFill="1" applyBorder="1" applyAlignment="1" applyProtection="1">
      <protection hidden="1"/>
    </xf>
    <xf numFmtId="176" fontId="7" fillId="0" borderId="3" xfId="4" applyNumberFormat="1" applyFont="1" applyFill="1" applyBorder="1" applyAlignment="1" applyProtection="1">
      <protection hidden="1"/>
    </xf>
    <xf numFmtId="0" fontId="7" fillId="0" borderId="10" xfId="4" applyFont="1" applyFill="1" applyBorder="1" applyProtection="1">
      <protection hidden="1"/>
    </xf>
    <xf numFmtId="176" fontId="7" fillId="0" borderId="10" xfId="4" applyNumberFormat="1" applyFont="1" applyFill="1" applyBorder="1" applyAlignment="1" applyProtection="1">
      <alignment vertical="center"/>
      <protection hidden="1"/>
    </xf>
    <xf numFmtId="176" fontId="6" fillId="0" borderId="10" xfId="4" applyNumberFormat="1" applyFont="1" applyFill="1" applyBorder="1" applyAlignment="1" applyProtection="1">
      <alignment vertical="center"/>
      <protection hidden="1"/>
    </xf>
    <xf numFmtId="176" fontId="7" fillId="0" borderId="10" xfId="4" applyNumberFormat="1" applyFont="1" applyFill="1" applyBorder="1" applyAlignment="1" applyProtection="1">
      <protection hidden="1"/>
    </xf>
    <xf numFmtId="176" fontId="6" fillId="0" borderId="34" xfId="4" applyNumberFormat="1" applyFont="1" applyFill="1" applyBorder="1" applyAlignment="1" applyProtection="1">
      <alignment vertical="center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2" fillId="5" borderId="7" xfId="4" applyFont="1" applyFill="1" applyBorder="1" applyAlignment="1" applyProtection="1">
      <alignment horizontal="center" vertical="top"/>
      <protection hidden="1"/>
    </xf>
    <xf numFmtId="0" fontId="2" fillId="5" borderId="9" xfId="4" applyFont="1" applyFill="1" applyBorder="1" applyAlignment="1" applyProtection="1">
      <alignment horizontal="center" vertical="top"/>
      <protection hidden="1"/>
    </xf>
    <xf numFmtId="0" fontId="5" fillId="5" borderId="9" xfId="4" applyFont="1" applyFill="1" applyBorder="1" applyProtection="1">
      <protection hidden="1"/>
    </xf>
    <xf numFmtId="181" fontId="2" fillId="5" borderId="41" xfId="4" applyNumberFormat="1" applyFont="1" applyFill="1" applyBorder="1" applyAlignment="1" applyProtection="1">
      <alignment vertical="center"/>
      <protection hidden="1"/>
    </xf>
    <xf numFmtId="0" fontId="5" fillId="5" borderId="48" xfId="4" applyFont="1" applyFill="1" applyBorder="1" applyProtection="1">
      <protection hidden="1"/>
    </xf>
    <xf numFmtId="0" fontId="5" fillId="5" borderId="64" xfId="4" applyFont="1" applyFill="1" applyBorder="1" applyProtection="1">
      <protection hidden="1"/>
    </xf>
    <xf numFmtId="0" fontId="5" fillId="5" borderId="41" xfId="4" applyFont="1" applyFill="1" applyBorder="1" applyProtection="1">
      <protection hidden="1"/>
    </xf>
    <xf numFmtId="181" fontId="2" fillId="0" borderId="33" xfId="4" applyNumberFormat="1" applyFont="1" applyFill="1" applyBorder="1" applyAlignment="1" applyProtection="1">
      <alignment vertical="center"/>
      <protection locked="0"/>
    </xf>
    <xf numFmtId="0" fontId="5" fillId="5" borderId="0" xfId="4" quotePrefix="1" applyFont="1" applyFill="1" applyBorder="1" applyProtection="1">
      <protection hidden="1"/>
    </xf>
    <xf numFmtId="0" fontId="5" fillId="13" borderId="0" xfId="4" applyFont="1" applyFill="1" applyBorder="1" applyProtection="1">
      <protection hidden="1"/>
    </xf>
    <xf numFmtId="0" fontId="5" fillId="13" borderId="0" xfId="4" applyFont="1" applyFill="1" applyProtection="1">
      <protection hidden="1"/>
    </xf>
    <xf numFmtId="0" fontId="5" fillId="13" borderId="0" xfId="4" applyFont="1" applyFill="1" applyAlignment="1" applyProtection="1">
      <alignment vertical="top"/>
      <protection hidden="1"/>
    </xf>
    <xf numFmtId="0" fontId="5" fillId="13" borderId="0" xfId="4" applyFont="1" applyFill="1" applyAlignment="1" applyProtection="1">
      <protection hidden="1"/>
    </xf>
    <xf numFmtId="170" fontId="7" fillId="13" borderId="0" xfId="0" applyNumberFormat="1" applyFont="1" applyFill="1" applyBorder="1" applyAlignment="1">
      <alignment vertical="center"/>
    </xf>
    <xf numFmtId="170" fontId="7" fillId="13" borderId="0" xfId="0" applyNumberFormat="1" applyFont="1" applyFill="1" applyBorder="1"/>
    <xf numFmtId="0" fontId="7" fillId="13" borderId="0" xfId="0" applyFont="1" applyFill="1" applyBorder="1"/>
    <xf numFmtId="184" fontId="7" fillId="13" borderId="0" xfId="0" applyNumberFormat="1" applyFont="1" applyFill="1" applyBorder="1" applyAlignment="1">
      <alignment vertical="center"/>
    </xf>
    <xf numFmtId="0" fontId="8" fillId="13" borderId="0" xfId="0" applyFont="1" applyFill="1" applyProtection="1">
      <protection hidden="1"/>
    </xf>
    <xf numFmtId="0" fontId="6" fillId="13" borderId="0" xfId="0" applyFont="1" applyFill="1" applyAlignment="1" applyProtection="1">
      <alignment horizontal="center" vertical="top" wrapText="1"/>
      <protection hidden="1"/>
    </xf>
    <xf numFmtId="0" fontId="12" fillId="13" borderId="0" xfId="0" applyFont="1" applyFill="1" applyProtection="1">
      <protection hidden="1"/>
    </xf>
    <xf numFmtId="0" fontId="7" fillId="13" borderId="0" xfId="0" applyFont="1" applyFill="1" applyAlignment="1" applyProtection="1">
      <alignment horizontal="center" vertical="center"/>
      <protection hidden="1"/>
    </xf>
    <xf numFmtId="0" fontId="7" fillId="13" borderId="0" xfId="0" applyFont="1" applyFill="1" applyProtection="1">
      <protection hidden="1"/>
    </xf>
    <xf numFmtId="0" fontId="7" fillId="13" borderId="0" xfId="0" quotePrefix="1" applyFont="1" applyFill="1" applyAlignment="1" applyProtection="1">
      <alignment horizontal="center" vertical="center"/>
      <protection hidden="1"/>
    </xf>
    <xf numFmtId="2" fontId="7" fillId="13" borderId="0" xfId="0" applyNumberFormat="1" applyFont="1" applyFill="1" applyAlignment="1" applyProtection="1">
      <alignment horizontal="center" vertical="center"/>
      <protection hidden="1"/>
    </xf>
    <xf numFmtId="0" fontId="8" fillId="13" borderId="0" xfId="0" applyFont="1" applyFill="1" applyBorder="1" applyAlignment="1" applyProtection="1">
      <protection hidden="1"/>
    </xf>
    <xf numFmtId="0" fontId="8" fillId="13" borderId="0" xfId="0" applyFont="1" applyFill="1" applyAlignment="1" applyProtection="1">
      <alignment horizontal="center" vertical="center"/>
      <protection hidden="1"/>
    </xf>
    <xf numFmtId="0" fontId="8" fillId="13" borderId="0" xfId="0" applyFont="1" applyFill="1" applyBorder="1" applyProtection="1">
      <protection hidden="1"/>
    </xf>
    <xf numFmtId="0" fontId="12" fillId="13" borderId="0" xfId="0" applyFont="1" applyFill="1" applyAlignment="1" applyProtection="1">
      <alignment vertical="top" wrapText="1"/>
      <protection hidden="1"/>
    </xf>
    <xf numFmtId="0" fontId="8" fillId="13" borderId="0" xfId="0" applyFont="1" applyFill="1" applyAlignment="1" applyProtection="1">
      <protection hidden="1"/>
    </xf>
    <xf numFmtId="0" fontId="5" fillId="13" borderId="0" xfId="0" applyFont="1" applyFill="1" applyBorder="1" applyProtection="1">
      <protection hidden="1"/>
    </xf>
    <xf numFmtId="0" fontId="2" fillId="13" borderId="0" xfId="0" applyFont="1" applyFill="1" applyAlignment="1" applyProtection="1">
      <alignment vertical="top" wrapText="1"/>
      <protection hidden="1"/>
    </xf>
    <xf numFmtId="0" fontId="5" fillId="13" borderId="0" xfId="0" applyFont="1" applyFill="1" applyProtection="1">
      <protection hidden="1"/>
    </xf>
    <xf numFmtId="0" fontId="15" fillId="13" borderId="0" xfId="0" applyFont="1" applyFill="1" applyAlignment="1" applyProtection="1">
      <alignment vertical="top" wrapText="1"/>
      <protection hidden="1"/>
    </xf>
    <xf numFmtId="0" fontId="5" fillId="13" borderId="0" xfId="9" applyFont="1" applyFill="1" applyProtection="1">
      <protection hidden="1"/>
    </xf>
    <xf numFmtId="0" fontId="5" fillId="13" borderId="0" xfId="0" applyFont="1" applyFill="1" applyBorder="1" applyAlignment="1" applyProtection="1">
      <protection hidden="1"/>
    </xf>
    <xf numFmtId="0" fontId="5" fillId="13" borderId="0" xfId="9" applyFont="1" applyFill="1" applyAlignment="1" applyProtection="1">
      <alignment horizontal="center"/>
      <protection hidden="1"/>
    </xf>
    <xf numFmtId="0" fontId="5" fillId="13" borderId="0" xfId="9" applyFont="1" applyFill="1" applyAlignment="1" applyProtection="1">
      <protection hidden="1"/>
    </xf>
    <xf numFmtId="0" fontId="5" fillId="13" borderId="0" xfId="9" applyFont="1" applyFill="1" applyAlignment="1" applyProtection="1">
      <alignment vertical="top"/>
      <protection hidden="1"/>
    </xf>
    <xf numFmtId="0" fontId="5" fillId="13" borderId="0" xfId="0" applyFont="1" applyFill="1" applyAlignment="1" applyProtection="1">
      <protection hidden="1"/>
    </xf>
    <xf numFmtId="0" fontId="6" fillId="13" borderId="0" xfId="0" applyFont="1" applyFill="1" applyAlignment="1" applyProtection="1">
      <alignment vertical="top" wrapText="1"/>
      <protection hidden="1"/>
    </xf>
    <xf numFmtId="0" fontId="7" fillId="13" borderId="0" xfId="0" applyFont="1" applyFill="1" applyAlignment="1" applyProtection="1">
      <protection hidden="1"/>
    </xf>
    <xf numFmtId="0" fontId="6" fillId="13" borderId="0" xfId="0" applyFont="1" applyFill="1" applyAlignment="1" applyProtection="1">
      <protection hidden="1"/>
    </xf>
    <xf numFmtId="0" fontId="6" fillId="13" borderId="13" xfId="0" applyFont="1" applyFill="1" applyBorder="1" applyAlignment="1" applyProtection="1">
      <alignment vertical="top" wrapText="1"/>
      <protection hidden="1"/>
    </xf>
    <xf numFmtId="0" fontId="5" fillId="13" borderId="0" xfId="0" quotePrefix="1" applyFont="1" applyFill="1" applyAlignment="1" applyProtection="1">
      <alignment horizontal="center" vertical="center"/>
      <protection hidden="1"/>
    </xf>
    <xf numFmtId="2" fontId="5" fillId="13" borderId="0" xfId="0" applyNumberFormat="1" applyFont="1" applyFill="1" applyAlignment="1" applyProtection="1">
      <alignment horizontal="center" vertical="center"/>
      <protection hidden="1"/>
    </xf>
    <xf numFmtId="0" fontId="5" fillId="13" borderId="0" xfId="0" quotePrefix="1" applyNumberFormat="1" applyFont="1" applyFill="1" applyAlignment="1" applyProtection="1">
      <protection hidden="1"/>
    </xf>
    <xf numFmtId="0" fontId="5" fillId="13" borderId="0" xfId="0" applyFont="1" applyFill="1" applyAlignment="1" applyProtection="1">
      <alignment horizontal="center" vertical="center"/>
      <protection hidden="1"/>
    </xf>
    <xf numFmtId="0" fontId="5" fillId="13" borderId="0" xfId="9" applyFont="1" applyFill="1" applyAlignment="1" applyProtection="1">
      <alignment horizontal="center" vertical="center"/>
      <protection hidden="1"/>
    </xf>
    <xf numFmtId="0" fontId="5" fillId="13" borderId="0" xfId="9" applyFont="1" applyFill="1" applyAlignment="1" applyProtection="1">
      <alignment vertical="center"/>
      <protection hidden="1"/>
    </xf>
    <xf numFmtId="0" fontId="3" fillId="3" borderId="9" xfId="9" applyFont="1" applyFill="1" applyBorder="1" applyAlignment="1" applyProtection="1">
      <alignment horizontal="left"/>
      <protection hidden="1"/>
    </xf>
    <xf numFmtId="0" fontId="2" fillId="13" borderId="0" xfId="0" applyFont="1" applyFill="1" applyAlignment="1" applyProtection="1">
      <alignment wrapText="1"/>
      <protection hidden="1"/>
    </xf>
    <xf numFmtId="0" fontId="2" fillId="13" borderId="0" xfId="0" applyFont="1" applyFill="1" applyAlignment="1" applyProtection="1">
      <alignment vertical="top"/>
      <protection hidden="1"/>
    </xf>
    <xf numFmtId="0" fontId="7" fillId="13" borderId="0" xfId="0" applyFont="1" applyFill="1" applyAlignment="1" applyProtection="1">
      <alignment horizontal="center" wrapText="1"/>
      <protection hidden="1"/>
    </xf>
    <xf numFmtId="0" fontId="5" fillId="13" borderId="0" xfId="0" applyNumberFormat="1" applyFont="1" applyFill="1" applyAlignment="1" applyProtection="1">
      <protection hidden="1"/>
    </xf>
    <xf numFmtId="0" fontId="6" fillId="2" borderId="67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2" fontId="7" fillId="2" borderId="28" xfId="0" applyNumberFormat="1" applyFont="1" applyFill="1" applyBorder="1" applyAlignment="1" applyProtection="1">
      <alignment horizontal="center" vertical="center" wrapText="1"/>
      <protection hidden="1"/>
    </xf>
    <xf numFmtId="169" fontId="5" fillId="3" borderId="6" xfId="0" applyNumberFormat="1" applyFont="1" applyFill="1" applyBorder="1" applyProtection="1">
      <protection hidden="1"/>
    </xf>
    <xf numFmtId="0" fontId="5" fillId="13" borderId="0" xfId="0" applyNumberFormat="1" applyFont="1" applyFill="1" applyBorder="1" applyProtection="1">
      <protection hidden="1"/>
    </xf>
    <xf numFmtId="0" fontId="6" fillId="13" borderId="0" xfId="0" applyNumberFormat="1" applyFont="1" applyFill="1" applyBorder="1" applyProtection="1">
      <protection hidden="1"/>
    </xf>
    <xf numFmtId="0" fontId="7" fillId="13" borderId="0" xfId="0" applyNumberFormat="1" applyFont="1" applyFill="1" applyBorder="1" applyAlignment="1" applyProtection="1">
      <alignment horizontal="left" indent="1"/>
      <protection hidden="1"/>
    </xf>
    <xf numFmtId="179" fontId="7" fillId="13" borderId="0" xfId="0" applyNumberFormat="1" applyFont="1" applyFill="1" applyBorder="1" applyProtection="1">
      <protection hidden="1"/>
    </xf>
    <xf numFmtId="0" fontId="7" fillId="13" borderId="0" xfId="0" applyNumberFormat="1" applyFont="1" applyFill="1" applyBorder="1" applyProtection="1">
      <protection hidden="1"/>
    </xf>
    <xf numFmtId="179" fontId="7" fillId="13" borderId="0" xfId="0" applyNumberFormat="1" applyFont="1" applyFill="1" applyBorder="1" applyAlignment="1" applyProtection="1">
      <alignment vertical="center"/>
      <protection hidden="1"/>
    </xf>
    <xf numFmtId="0" fontId="7" fillId="13" borderId="0" xfId="0" applyFont="1" applyFill="1" applyAlignment="1" applyProtection="1">
      <alignment horizontal="left" indent="1"/>
      <protection hidden="1"/>
    </xf>
    <xf numFmtId="181" fontId="7" fillId="13" borderId="0" xfId="0" applyNumberFormat="1" applyFont="1" applyFill="1" applyAlignment="1" applyProtection="1">
      <alignment vertical="center"/>
      <protection hidden="1"/>
    </xf>
    <xf numFmtId="172" fontId="5" fillId="13" borderId="0" xfId="0" applyNumberFormat="1" applyFont="1" applyFill="1" applyProtection="1">
      <protection hidden="1"/>
    </xf>
    <xf numFmtId="0" fontId="5" fillId="13" borderId="0" xfId="0" applyFont="1" applyFill="1" applyAlignment="1" applyProtection="1">
      <alignment vertical="center"/>
      <protection hidden="1"/>
    </xf>
    <xf numFmtId="0" fontId="5" fillId="13" borderId="0" xfId="0" applyFont="1" applyFill="1" applyAlignment="1" applyProtection="1">
      <alignment vertical="top"/>
      <protection hidden="1"/>
    </xf>
    <xf numFmtId="172" fontId="2" fillId="5" borderId="8" xfId="0" applyNumberFormat="1" applyFont="1" applyFill="1" applyBorder="1" applyAlignment="1" applyProtection="1">
      <alignment vertical="top" wrapText="1"/>
      <protection hidden="1"/>
    </xf>
    <xf numFmtId="172" fontId="5" fillId="5" borderId="67" xfId="0" applyNumberFormat="1" applyFont="1" applyFill="1" applyBorder="1" applyProtection="1">
      <protection hidden="1"/>
    </xf>
    <xf numFmtId="0" fontId="5" fillId="5" borderId="67" xfId="0" applyFont="1" applyFill="1" applyBorder="1" applyProtection="1">
      <protection hidden="1"/>
    </xf>
    <xf numFmtId="0" fontId="5" fillId="5" borderId="1" xfId="0" applyFont="1" applyFill="1" applyBorder="1" applyProtection="1">
      <protection hidden="1"/>
    </xf>
    <xf numFmtId="0" fontId="3" fillId="5" borderId="102" xfId="0" applyNumberFormat="1" applyFont="1" applyFill="1" applyBorder="1" applyAlignment="1" applyProtection="1">
      <protection hidden="1"/>
    </xf>
    <xf numFmtId="172" fontId="5" fillId="5" borderId="0" xfId="0" applyNumberFormat="1" applyFont="1" applyFill="1" applyBorder="1" applyProtection="1">
      <protection hidden="1"/>
    </xf>
    <xf numFmtId="0" fontId="2" fillId="4" borderId="102" xfId="0" applyFont="1" applyFill="1" applyBorder="1" applyAlignment="1" applyProtection="1">
      <alignment horizontal="left" vertical="center"/>
      <protection hidden="1"/>
    </xf>
    <xf numFmtId="172" fontId="2" fillId="5" borderId="102" xfId="0" applyNumberFormat="1" applyFont="1" applyFill="1" applyBorder="1" applyAlignment="1" applyProtection="1">
      <protection hidden="1"/>
    </xf>
    <xf numFmtId="0" fontId="9" fillId="5" borderId="2" xfId="0" applyFont="1" applyFill="1" applyBorder="1" applyAlignment="1" applyProtection="1">
      <protection hidden="1"/>
    </xf>
    <xf numFmtId="0" fontId="2" fillId="4" borderId="102" xfId="0" applyFont="1" applyFill="1" applyBorder="1" applyAlignment="1" applyProtection="1">
      <protection hidden="1"/>
    </xf>
    <xf numFmtId="0" fontId="5" fillId="5" borderId="14" xfId="0" applyFont="1" applyFill="1" applyBorder="1" applyAlignment="1" applyProtection="1">
      <alignment vertical="center"/>
      <protection hidden="1"/>
    </xf>
    <xf numFmtId="0" fontId="5" fillId="5" borderId="64" xfId="0" applyFont="1" applyFill="1" applyBorder="1" applyAlignment="1" applyProtection="1">
      <alignment horizontal="left" vertical="center" wrapText="1" indent="2"/>
      <protection hidden="1"/>
    </xf>
    <xf numFmtId="165" fontId="13" fillId="5" borderId="102" xfId="0" applyNumberFormat="1" applyFont="1" applyFill="1" applyBorder="1" applyAlignment="1" applyProtection="1">
      <alignment horizontal="left" vertical="center" indent="1"/>
      <protection hidden="1"/>
    </xf>
    <xf numFmtId="0" fontId="2" fillId="5" borderId="102" xfId="0" applyFont="1" applyFill="1" applyBorder="1" applyAlignment="1" applyProtection="1">
      <alignment horizontal="left" vertical="center" indent="2"/>
      <protection hidden="1"/>
    </xf>
    <xf numFmtId="0" fontId="2" fillId="5" borderId="64" xfId="0" applyFont="1" applyFill="1" applyBorder="1" applyAlignment="1" applyProtection="1">
      <alignment horizontal="left" vertical="center" indent="2"/>
      <protection hidden="1"/>
    </xf>
    <xf numFmtId="0" fontId="13" fillId="5" borderId="102" xfId="0" applyFont="1" applyFill="1" applyBorder="1" applyAlignment="1" applyProtection="1">
      <alignment horizontal="left" vertical="center" indent="1"/>
      <protection hidden="1"/>
    </xf>
    <xf numFmtId="0" fontId="2" fillId="5" borderId="14" xfId="0" applyFont="1" applyFill="1" applyBorder="1" applyAlignment="1" applyProtection="1">
      <alignment horizontal="left" vertical="center" indent="2"/>
      <protection hidden="1"/>
    </xf>
    <xf numFmtId="0" fontId="5" fillId="5" borderId="102" xfId="0" quotePrefix="1" applyFont="1" applyFill="1" applyBorder="1" applyAlignment="1" applyProtection="1">
      <alignment horizontal="left"/>
      <protection hidden="1"/>
    </xf>
    <xf numFmtId="0" fontId="5" fillId="5" borderId="102" xfId="0" applyFont="1" applyFill="1" applyBorder="1" applyAlignment="1" applyProtection="1">
      <alignment horizontal="left" vertical="center" wrapText="1" indent="2"/>
      <protection hidden="1"/>
    </xf>
    <xf numFmtId="0" fontId="2" fillId="5" borderId="103" xfId="0" applyFont="1" applyFill="1" applyBorder="1" applyAlignment="1" applyProtection="1">
      <alignment horizontal="left" vertical="center" wrapText="1" indent="1"/>
      <protection hidden="1"/>
    </xf>
    <xf numFmtId="0" fontId="5" fillId="2" borderId="102" xfId="0" applyFont="1" applyFill="1" applyBorder="1" applyProtection="1">
      <protection hidden="1"/>
    </xf>
    <xf numFmtId="172" fontId="5" fillId="5" borderId="102" xfId="0" applyNumberFormat="1" applyFont="1" applyFill="1" applyBorder="1" applyAlignment="1" applyProtection="1">
      <alignment horizontal="center"/>
      <protection hidden="1"/>
    </xf>
    <xf numFmtId="0" fontId="13" fillId="5" borderId="22" xfId="0" applyFont="1" applyFill="1" applyBorder="1" applyAlignment="1" applyProtection="1">
      <alignment horizontal="left" vertical="center" wrapText="1" indent="2"/>
      <protection hidden="1"/>
    </xf>
    <xf numFmtId="0" fontId="5" fillId="5" borderId="7" xfId="0" applyFont="1" applyFill="1" applyBorder="1" applyAlignment="1" applyProtection="1">
      <alignment horizontal="left"/>
      <protection hidden="1"/>
    </xf>
    <xf numFmtId="0" fontId="2" fillId="5" borderId="102" xfId="0" applyFont="1" applyFill="1" applyBorder="1" applyAlignment="1" applyProtection="1">
      <alignment horizontal="center" vertical="center"/>
      <protection hidden="1"/>
    </xf>
    <xf numFmtId="172" fontId="2" fillId="5" borderId="102" xfId="0" applyNumberFormat="1" applyFont="1" applyFill="1" applyBorder="1" applyAlignment="1" applyProtection="1">
      <alignment horizontal="center" vertical="center"/>
      <protection hidden="1"/>
    </xf>
    <xf numFmtId="0" fontId="5" fillId="5" borderId="28" xfId="0" applyFont="1" applyFill="1" applyBorder="1" applyAlignment="1" applyProtection="1">
      <alignment horizontal="left" wrapText="1" indent="2"/>
      <protection hidden="1"/>
    </xf>
    <xf numFmtId="165" fontId="13" fillId="5" borderId="7" xfId="0" applyNumberFormat="1" applyFont="1" applyFill="1" applyBorder="1" applyAlignment="1" applyProtection="1">
      <alignment horizontal="left" vertical="center" indent="1"/>
      <protection hidden="1"/>
    </xf>
    <xf numFmtId="0" fontId="20" fillId="5" borderId="7" xfId="0" applyFont="1" applyFill="1" applyBorder="1" applyAlignment="1" applyProtection="1">
      <alignment horizontal="left" vertical="center" indent="2"/>
      <protection hidden="1"/>
    </xf>
    <xf numFmtId="0" fontId="2" fillId="5" borderId="7" xfId="0" applyFont="1" applyFill="1" applyBorder="1" applyAlignment="1" applyProtection="1">
      <alignment horizontal="left" vertical="center" indent="3"/>
      <protection hidden="1"/>
    </xf>
    <xf numFmtId="0" fontId="20" fillId="5" borderId="7" xfId="0" applyFont="1" applyFill="1" applyBorder="1" applyAlignment="1" applyProtection="1">
      <alignment horizontal="left" vertical="center" wrapText="1" indent="2"/>
      <protection hidden="1"/>
    </xf>
    <xf numFmtId="0" fontId="2" fillId="5" borderId="7" xfId="0" applyFont="1" applyFill="1" applyBorder="1" applyAlignment="1" applyProtection="1">
      <alignment horizontal="left" vertical="center" wrapText="1" indent="3"/>
      <protection hidden="1"/>
    </xf>
    <xf numFmtId="165" fontId="13" fillId="5" borderId="5" xfId="0" applyNumberFormat="1" applyFont="1" applyFill="1" applyBorder="1" applyAlignment="1" applyProtection="1">
      <alignment horizontal="left" vertical="center" indent="1"/>
      <protection hidden="1"/>
    </xf>
    <xf numFmtId="0" fontId="2" fillId="5" borderId="13" xfId="0" applyFont="1" applyFill="1" applyBorder="1" applyAlignment="1" applyProtection="1">
      <alignment horizontal="left" vertical="center" indent="2"/>
      <protection hidden="1"/>
    </xf>
    <xf numFmtId="164" fontId="5" fillId="5" borderId="102" xfId="0" applyNumberFormat="1" applyFont="1" applyFill="1" applyBorder="1" applyAlignment="1" applyProtection="1">
      <alignment vertical="center"/>
      <protection hidden="1"/>
    </xf>
    <xf numFmtId="164" fontId="5" fillId="5" borderId="64" xfId="0" applyNumberFormat="1" applyFont="1" applyFill="1" applyBorder="1" applyAlignment="1" applyProtection="1">
      <alignment vertical="center"/>
      <protection hidden="1"/>
    </xf>
    <xf numFmtId="0" fontId="5" fillId="5" borderId="104" xfId="0" applyFont="1" applyFill="1" applyBorder="1" applyAlignment="1" applyProtection="1">
      <alignment vertical="center"/>
      <protection hidden="1"/>
    </xf>
    <xf numFmtId="0" fontId="9" fillId="5" borderId="105" xfId="0" applyFont="1" applyFill="1" applyBorder="1" applyAlignment="1" applyProtection="1">
      <protection hidden="1"/>
    </xf>
    <xf numFmtId="0" fontId="2" fillId="4" borderId="102" xfId="0" applyFont="1" applyFill="1" applyBorder="1" applyAlignment="1" applyProtection="1">
      <alignment horizontal="left"/>
      <protection hidden="1"/>
    </xf>
    <xf numFmtId="0" fontId="2" fillId="9" borderId="102" xfId="0" applyFont="1" applyFill="1" applyBorder="1" applyProtection="1">
      <protection hidden="1"/>
    </xf>
    <xf numFmtId="0" fontId="10" fillId="5" borderId="102" xfId="0" applyFont="1" applyFill="1" applyBorder="1" applyAlignment="1" applyProtection="1">
      <alignment vertical="center"/>
      <protection hidden="1"/>
    </xf>
    <xf numFmtId="0" fontId="10" fillId="5" borderId="9" xfId="0" applyFont="1" applyFill="1" applyBorder="1" applyAlignment="1" applyProtection="1">
      <alignment vertical="center"/>
      <protection hidden="1"/>
    </xf>
    <xf numFmtId="0" fontId="2" fillId="4" borderId="24" xfId="0" applyFont="1" applyFill="1" applyBorder="1" applyAlignment="1" applyProtection="1">
      <alignment horizontal="left"/>
      <protection hidden="1"/>
    </xf>
    <xf numFmtId="0" fontId="5" fillId="4" borderId="6" xfId="0" applyFont="1" applyFill="1" applyBorder="1" applyAlignment="1" applyProtection="1">
      <alignment vertical="center"/>
      <protection hidden="1"/>
    </xf>
    <xf numFmtId="0" fontId="5" fillId="4" borderId="15" xfId="0" applyFont="1" applyFill="1" applyBorder="1" applyAlignment="1" applyProtection="1">
      <alignment vertical="center"/>
      <protection hidden="1"/>
    </xf>
    <xf numFmtId="0" fontId="5" fillId="4" borderId="6" xfId="0" applyFont="1" applyFill="1" applyBorder="1" applyAlignment="1" applyProtection="1">
      <alignment horizontal="left" vertical="center" indent="2"/>
      <protection hidden="1"/>
    </xf>
    <xf numFmtId="0" fontId="5" fillId="4" borderId="56" xfId="0" applyFont="1" applyFill="1" applyBorder="1" applyAlignment="1" applyProtection="1">
      <alignment horizontal="left" vertical="center" indent="2"/>
      <protection hidden="1"/>
    </xf>
    <xf numFmtId="0" fontId="5" fillId="3" borderId="24" xfId="0" applyFont="1" applyFill="1" applyBorder="1" applyAlignment="1" applyProtection="1">
      <protection hidden="1"/>
    </xf>
    <xf numFmtId="0" fontId="2" fillId="3" borderId="6" xfId="0" applyFont="1" applyFill="1" applyBorder="1" applyProtection="1">
      <protection hidden="1"/>
    </xf>
    <xf numFmtId="0" fontId="2" fillId="3" borderId="6" xfId="0" applyFont="1" applyFill="1" applyBorder="1" applyAlignment="1" applyProtection="1">
      <alignment horizontal="left" indent="1"/>
      <protection hidden="1"/>
    </xf>
    <xf numFmtId="0" fontId="5" fillId="3" borderId="27" xfId="0" applyFont="1" applyFill="1" applyBorder="1" applyProtection="1">
      <protection hidden="1"/>
    </xf>
    <xf numFmtId="0" fontId="2" fillId="3" borderId="6" xfId="0" applyFont="1" applyFill="1" applyBorder="1" applyAlignment="1" applyProtection="1">
      <alignment horizontal="left" vertical="center" indent="1"/>
      <protection hidden="1"/>
    </xf>
    <xf numFmtId="0" fontId="5" fillId="3" borderId="6" xfId="0" applyFont="1" applyFill="1" applyBorder="1" applyAlignment="1" applyProtection="1">
      <alignment horizontal="left" vertical="center" indent="2"/>
      <protection hidden="1"/>
    </xf>
    <xf numFmtId="0" fontId="2" fillId="3" borderId="6" xfId="0" applyFont="1" applyFill="1" applyBorder="1" applyAlignment="1" applyProtection="1">
      <alignment horizontal="left" vertical="center" indent="2"/>
      <protection hidden="1"/>
    </xf>
    <xf numFmtId="0" fontId="2" fillId="3" borderId="74" xfId="0" applyFont="1" applyFill="1" applyBorder="1" applyAlignment="1" applyProtection="1">
      <alignment horizontal="left" vertical="center" indent="1"/>
      <protection hidden="1"/>
    </xf>
    <xf numFmtId="0" fontId="2" fillId="3" borderId="15" xfId="0" applyFont="1" applyFill="1" applyBorder="1" applyAlignment="1" applyProtection="1">
      <alignment horizontal="left" vertical="center" indent="1"/>
      <protection hidden="1"/>
    </xf>
    <xf numFmtId="176" fontId="2" fillId="9" borderId="30" xfId="5" applyNumberFormat="1" applyFont="1" applyFill="1" applyBorder="1" applyAlignment="1" applyProtection="1">
      <alignment horizontal="left" vertical="center" indent="1"/>
      <protection hidden="1"/>
    </xf>
    <xf numFmtId="0" fontId="2" fillId="9" borderId="6" xfId="5" applyFont="1" applyFill="1" applyBorder="1" applyAlignment="1" applyProtection="1">
      <alignment horizontal="left" vertical="center" indent="1"/>
      <protection hidden="1"/>
    </xf>
    <xf numFmtId="0" fontId="2" fillId="9" borderId="56" xfId="5" applyFont="1" applyFill="1" applyBorder="1" applyAlignment="1" applyProtection="1">
      <alignment horizontal="left" vertical="center" indent="1"/>
      <protection hidden="1"/>
    </xf>
    <xf numFmtId="0" fontId="5" fillId="0" borderId="6" xfId="0" applyFont="1" applyFill="1" applyBorder="1" applyAlignment="1" applyProtection="1">
      <alignment horizontal="left" vertical="center" wrapText="1" indent="1"/>
      <protection locked="0"/>
    </xf>
    <xf numFmtId="0" fontId="5" fillId="0" borderId="30" xfId="0" applyFont="1" applyFill="1" applyBorder="1" applyAlignment="1" applyProtection="1">
      <alignment horizontal="left" vertical="center" wrapText="1" indent="1"/>
      <protection locked="0"/>
    </xf>
    <xf numFmtId="0" fontId="2" fillId="9" borderId="74" xfId="5" applyFont="1" applyFill="1" applyBorder="1" applyAlignment="1" applyProtection="1">
      <alignment horizontal="left" vertical="center" indent="1"/>
      <protection hidden="1"/>
    </xf>
    <xf numFmtId="0" fontId="2" fillId="9" borderId="30" xfId="0" applyFont="1" applyFill="1" applyBorder="1" applyAlignment="1" applyProtection="1">
      <alignment horizontal="left" vertical="center" indent="1"/>
      <protection hidden="1"/>
    </xf>
    <xf numFmtId="0" fontId="2" fillId="9" borderId="15" xfId="0" applyFont="1" applyFill="1" applyBorder="1" applyAlignment="1" applyProtection="1">
      <alignment horizontal="left" vertical="center" indent="1"/>
      <protection hidden="1"/>
    </xf>
    <xf numFmtId="0" fontId="5" fillId="5" borderId="24" xfId="0" applyFont="1" applyFill="1" applyBorder="1" applyProtection="1">
      <protection hidden="1"/>
    </xf>
    <xf numFmtId="0" fontId="2" fillId="4" borderId="6" xfId="0" applyFont="1" applyFill="1" applyBorder="1" applyAlignment="1" applyProtection="1">
      <alignment horizontal="left" vertical="center" wrapText="1" indent="1"/>
      <protection hidden="1"/>
    </xf>
    <xf numFmtId="0" fontId="5" fillId="5" borderId="6" xfId="0" applyFont="1" applyFill="1" applyBorder="1" applyProtection="1">
      <protection hidden="1"/>
    </xf>
    <xf numFmtId="0" fontId="5" fillId="4" borderId="15" xfId="0" applyFont="1" applyFill="1" applyBorder="1" applyAlignment="1" applyProtection="1">
      <protection hidden="1"/>
    </xf>
    <xf numFmtId="0" fontId="5" fillId="4" borderId="6" xfId="0" applyFont="1" applyFill="1" applyBorder="1" applyAlignment="1" applyProtection="1">
      <alignment horizontal="left" vertical="center" indent="1"/>
      <protection hidden="1"/>
    </xf>
    <xf numFmtId="0" fontId="5" fillId="4" borderId="30" xfId="0" applyFont="1" applyFill="1" applyBorder="1" applyAlignment="1" applyProtection="1">
      <alignment horizontal="left" vertical="center" indent="1"/>
      <protection hidden="1"/>
    </xf>
    <xf numFmtId="0" fontId="2" fillId="5" borderId="15" xfId="0" applyFont="1" applyFill="1" applyBorder="1" applyAlignment="1" applyProtection="1">
      <alignment horizontal="left" vertical="center" wrapText="1" indent="1"/>
      <protection hidden="1"/>
    </xf>
    <xf numFmtId="0" fontId="2" fillId="2" borderId="7" xfId="0" applyFont="1" applyFill="1" applyBorder="1" applyAlignment="1" applyProtection="1">
      <alignment vertical="center"/>
      <protection hidden="1"/>
    </xf>
    <xf numFmtId="0" fontId="2" fillId="4" borderId="14" xfId="0" applyFont="1" applyFill="1" applyBorder="1" applyAlignment="1" applyProtection="1">
      <alignment horizontal="right" vertical="center"/>
      <protection hidden="1"/>
    </xf>
    <xf numFmtId="172" fontId="5" fillId="5" borderId="67" xfId="4" applyNumberFormat="1" applyFont="1" applyFill="1" applyBorder="1" applyAlignment="1" applyProtection="1">
      <protection hidden="1"/>
    </xf>
    <xf numFmtId="172" fontId="2" fillId="5" borderId="67" xfId="4" applyNumberFormat="1" applyFont="1" applyFill="1" applyBorder="1" applyAlignment="1" applyProtection="1">
      <alignment horizontal="left" indent="1"/>
      <protection hidden="1"/>
    </xf>
    <xf numFmtId="0" fontId="5" fillId="5" borderId="67" xfId="4" applyFont="1" applyFill="1" applyBorder="1" applyAlignment="1" applyProtection="1">
      <alignment vertical="top"/>
      <protection hidden="1"/>
    </xf>
    <xf numFmtId="0" fontId="2" fillId="5" borderId="67" xfId="0" applyNumberFormat="1" applyFont="1" applyFill="1" applyBorder="1" applyAlignment="1" applyProtection="1">
      <alignment horizontal="right" vertical="center" indent="1"/>
      <protection hidden="1"/>
    </xf>
    <xf numFmtId="0" fontId="5" fillId="5" borderId="67" xfId="4" applyFont="1" applyFill="1" applyBorder="1" applyAlignment="1" applyProtection="1">
      <protection hidden="1"/>
    </xf>
    <xf numFmtId="0" fontId="5" fillId="5" borderId="1" xfId="4" applyFont="1" applyFill="1" applyBorder="1" applyAlignment="1" applyProtection="1">
      <alignment vertical="top"/>
      <protection hidden="1"/>
    </xf>
    <xf numFmtId="0" fontId="2" fillId="5" borderId="9" xfId="0" applyNumberFormat="1" applyFont="1" applyFill="1" applyBorder="1" applyAlignment="1" applyProtection="1">
      <protection hidden="1"/>
    </xf>
    <xf numFmtId="172" fontId="2" fillId="5" borderId="9" xfId="4" applyNumberFormat="1" applyFont="1" applyFill="1" applyBorder="1" applyAlignment="1" applyProtection="1">
      <protection hidden="1"/>
    </xf>
    <xf numFmtId="172" fontId="3" fillId="5" borderId="9" xfId="4" applyNumberFormat="1" applyFont="1" applyFill="1" applyBorder="1" applyAlignment="1" applyProtection="1">
      <protection hidden="1"/>
    </xf>
    <xf numFmtId="172" fontId="2" fillId="5" borderId="9" xfId="4" applyNumberFormat="1" applyFont="1" applyFill="1" applyBorder="1" applyAlignment="1" applyProtection="1">
      <alignment horizontal="left" vertical="center" indent="1"/>
      <protection hidden="1"/>
    </xf>
    <xf numFmtId="0" fontId="5" fillId="5" borderId="9" xfId="4" quotePrefix="1" applyFont="1" applyFill="1" applyBorder="1" applyProtection="1">
      <protection hidden="1"/>
    </xf>
    <xf numFmtId="0" fontId="5" fillId="5" borderId="61" xfId="4" applyFont="1" applyFill="1" applyBorder="1" applyProtection="1">
      <protection hidden="1"/>
    </xf>
    <xf numFmtId="0" fontId="5" fillId="5" borderId="43" xfId="4" applyFont="1" applyFill="1" applyBorder="1" applyProtection="1">
      <protection hidden="1"/>
    </xf>
    <xf numFmtId="0" fontId="5" fillId="7" borderId="64" xfId="4" applyFont="1" applyFill="1" applyBorder="1" applyProtection="1">
      <protection hidden="1"/>
    </xf>
    <xf numFmtId="0" fontId="5" fillId="7" borderId="61" xfId="4" applyFont="1" applyFill="1" applyBorder="1" applyProtection="1">
      <protection hidden="1"/>
    </xf>
    <xf numFmtId="0" fontId="5" fillId="7" borderId="43" xfId="4" applyFont="1" applyFill="1" applyBorder="1" applyProtection="1">
      <protection hidden="1"/>
    </xf>
    <xf numFmtId="0" fontId="5" fillId="12" borderId="61" xfId="4" applyFont="1" applyFill="1" applyBorder="1" applyProtection="1">
      <protection hidden="1"/>
    </xf>
    <xf numFmtId="172" fontId="2" fillId="11" borderId="2" xfId="0" applyNumberFormat="1" applyFont="1" applyFill="1" applyBorder="1" applyAlignment="1" applyProtection="1">
      <alignment horizontal="right" vertical="center" indent="1"/>
      <protection hidden="1"/>
    </xf>
    <xf numFmtId="172" fontId="2" fillId="11" borderId="2" xfId="0" applyNumberFormat="1" applyFont="1" applyFill="1" applyBorder="1" applyAlignment="1" applyProtection="1">
      <alignment vertical="center" wrapText="1"/>
      <protection hidden="1"/>
    </xf>
    <xf numFmtId="0" fontId="9" fillId="11" borderId="2" xfId="0" applyFont="1" applyFill="1" applyBorder="1" applyAlignment="1" applyProtection="1">
      <protection hidden="1"/>
    </xf>
    <xf numFmtId="0" fontId="10" fillId="11" borderId="2" xfId="0" applyFont="1" applyFill="1" applyBorder="1" applyAlignment="1" applyProtection="1">
      <alignment vertical="center"/>
      <protection hidden="1"/>
    </xf>
    <xf numFmtId="0" fontId="10" fillId="11" borderId="2" xfId="0" applyFont="1" applyFill="1" applyBorder="1" applyAlignment="1" applyProtection="1">
      <protection hidden="1"/>
    </xf>
    <xf numFmtId="0" fontId="5" fillId="12" borderId="2" xfId="4" applyFont="1" applyFill="1" applyBorder="1" applyProtection="1">
      <protection hidden="1"/>
    </xf>
    <xf numFmtId="0" fontId="5" fillId="12" borderId="43" xfId="4" applyFont="1" applyFill="1" applyBorder="1" applyProtection="1">
      <protection hidden="1"/>
    </xf>
    <xf numFmtId="0" fontId="2" fillId="6" borderId="45" xfId="0" applyFont="1" applyFill="1" applyBorder="1" applyAlignment="1" applyProtection="1">
      <alignment horizontal="centerContinuous"/>
      <protection hidden="1"/>
    </xf>
    <xf numFmtId="172" fontId="5" fillId="6" borderId="67" xfId="0" applyNumberFormat="1" applyFont="1" applyFill="1" applyBorder="1" applyAlignment="1" applyProtection="1">
      <protection hidden="1"/>
    </xf>
    <xf numFmtId="172" fontId="2" fillId="6" borderId="67" xfId="0" applyNumberFormat="1" applyFont="1" applyFill="1" applyBorder="1" applyAlignment="1" applyProtection="1">
      <alignment vertical="center" wrapText="1"/>
      <protection hidden="1"/>
    </xf>
    <xf numFmtId="172" fontId="2" fillId="6" borderId="67" xfId="0" applyNumberFormat="1" applyFont="1" applyFill="1" applyBorder="1" applyAlignment="1" applyProtection="1">
      <alignment horizontal="right" vertical="center" indent="1"/>
      <protection hidden="1"/>
    </xf>
    <xf numFmtId="172" fontId="2" fillId="6" borderId="1" xfId="0" applyNumberFormat="1" applyFont="1" applyFill="1" applyBorder="1" applyAlignment="1" applyProtection="1">
      <alignment horizontal="right" vertical="center" indent="1"/>
      <protection hidden="1"/>
    </xf>
    <xf numFmtId="172" fontId="2" fillId="11" borderId="67" xfId="0" applyNumberFormat="1" applyFont="1" applyFill="1" applyBorder="1" applyAlignment="1" applyProtection="1">
      <alignment horizontal="right" vertical="center" indent="1"/>
      <protection hidden="1"/>
    </xf>
    <xf numFmtId="172" fontId="2" fillId="11" borderId="1" xfId="0" applyNumberFormat="1" applyFont="1" applyFill="1" applyBorder="1" applyAlignment="1" applyProtection="1">
      <alignment horizontal="right" vertical="center" indent="1"/>
      <protection hidden="1"/>
    </xf>
    <xf numFmtId="0" fontId="5" fillId="9" borderId="0" xfId="4" applyFont="1" applyFill="1" applyProtection="1">
      <protection hidden="1"/>
    </xf>
    <xf numFmtId="0" fontId="5" fillId="9" borderId="0" xfId="4" applyFont="1" applyFill="1" applyBorder="1" applyProtection="1">
      <protection hidden="1"/>
    </xf>
    <xf numFmtId="0" fontId="5" fillId="14" borderId="0" xfId="4" applyFont="1" applyFill="1" applyProtection="1">
      <protection hidden="1"/>
    </xf>
    <xf numFmtId="0" fontId="5" fillId="15" borderId="0" xfId="4" applyFont="1" applyFill="1" applyProtection="1">
      <protection hidden="1"/>
    </xf>
    <xf numFmtId="181" fontId="5" fillId="14" borderId="0" xfId="4" applyNumberFormat="1" applyFont="1" applyFill="1" applyBorder="1" applyProtection="1">
      <protection hidden="1"/>
    </xf>
    <xf numFmtId="0" fontId="5" fillId="14" borderId="0" xfId="4" applyFont="1" applyFill="1" applyBorder="1" applyProtection="1">
      <protection hidden="1"/>
    </xf>
    <xf numFmtId="0" fontId="5" fillId="14" borderId="2" xfId="4" applyFont="1" applyFill="1" applyBorder="1" applyProtection="1">
      <protection hidden="1"/>
    </xf>
    <xf numFmtId="0" fontId="5" fillId="4" borderId="9" xfId="0" applyFont="1" applyFill="1" applyBorder="1" applyAlignment="1" applyProtection="1">
      <protection hidden="1"/>
    </xf>
    <xf numFmtId="179" fontId="2" fillId="0" borderId="46" xfId="0" applyNumberFormat="1" applyFont="1" applyFill="1" applyBorder="1" applyAlignment="1" applyProtection="1">
      <alignment vertical="center"/>
      <protection locked="0"/>
    </xf>
    <xf numFmtId="0" fontId="5" fillId="9" borderId="32" xfId="9" applyNumberFormat="1" applyFont="1" applyFill="1" applyBorder="1" applyAlignment="1" applyProtection="1">
      <protection hidden="1"/>
    </xf>
    <xf numFmtId="0" fontId="5" fillId="9" borderId="31" xfId="9" applyNumberFormat="1" applyFont="1" applyFill="1" applyBorder="1" applyAlignment="1" applyProtection="1">
      <protection hidden="1"/>
    </xf>
    <xf numFmtId="179" fontId="5" fillId="9" borderId="5" xfId="9" applyNumberFormat="1" applyFont="1" applyFill="1" applyBorder="1" applyAlignment="1" applyProtection="1">
      <alignment vertical="center"/>
      <protection hidden="1"/>
    </xf>
    <xf numFmtId="180" fontId="2" fillId="9" borderId="50" xfId="9" applyNumberFormat="1" applyFont="1" applyFill="1" applyBorder="1" applyAlignment="1" applyProtection="1">
      <alignment vertical="center"/>
      <protection hidden="1"/>
    </xf>
    <xf numFmtId="179" fontId="2" fillId="0" borderId="46" xfId="9" applyNumberFormat="1" applyFont="1" applyFill="1" applyBorder="1" applyAlignment="1" applyProtection="1">
      <alignment vertical="center"/>
      <protection locked="0"/>
    </xf>
    <xf numFmtId="180" fontId="2" fillId="9" borderId="53" xfId="9" applyNumberFormat="1" applyFont="1" applyFill="1" applyBorder="1" applyAlignment="1" applyProtection="1">
      <alignment vertical="center"/>
      <protection hidden="1"/>
    </xf>
    <xf numFmtId="179" fontId="14" fillId="0" borderId="106" xfId="0" applyNumberFormat="1" applyFont="1" applyFill="1" applyBorder="1" applyAlignment="1" applyProtection="1">
      <alignment vertical="center"/>
      <protection locked="0"/>
    </xf>
    <xf numFmtId="172" fontId="2" fillId="11" borderId="0" xfId="0" applyNumberFormat="1" applyFont="1" applyFill="1" applyBorder="1" applyAlignment="1" applyProtection="1">
      <alignment horizontal="center" vertical="center"/>
      <protection hidden="1"/>
    </xf>
    <xf numFmtId="0" fontId="2" fillId="5" borderId="47" xfId="4" applyFont="1" applyFill="1" applyBorder="1" applyAlignment="1" applyProtection="1">
      <alignment horizontal="center" vertical="center"/>
      <protection hidden="1"/>
    </xf>
    <xf numFmtId="0" fontId="2" fillId="5" borderId="86" xfId="4" applyFont="1" applyFill="1" applyBorder="1" applyAlignment="1" applyProtection="1">
      <alignment horizontal="center" vertical="center"/>
      <protection hidden="1"/>
    </xf>
    <xf numFmtId="0" fontId="2" fillId="5" borderId="87" xfId="4" applyFont="1" applyFill="1" applyBorder="1" applyAlignment="1" applyProtection="1">
      <alignment horizontal="center" vertical="center"/>
      <protection hidden="1"/>
    </xf>
    <xf numFmtId="0" fontId="2" fillId="5" borderId="40" xfId="0" applyNumberFormat="1" applyFont="1" applyFill="1" applyBorder="1" applyAlignment="1" applyProtection="1">
      <alignment horizontal="center" vertical="center"/>
      <protection hidden="1"/>
    </xf>
    <xf numFmtId="0" fontId="2" fillId="5" borderId="51" xfId="0" applyNumberFormat="1" applyFont="1" applyFill="1" applyBorder="1" applyAlignment="1" applyProtection="1">
      <alignment horizontal="center" vertical="center"/>
      <protection hidden="1"/>
    </xf>
    <xf numFmtId="0" fontId="2" fillId="5" borderId="32" xfId="0" applyNumberFormat="1" applyFont="1" applyFill="1" applyBorder="1" applyAlignment="1" applyProtection="1">
      <alignment horizontal="center" vertical="center"/>
      <protection hidden="1"/>
    </xf>
    <xf numFmtId="0" fontId="2" fillId="5" borderId="41" xfId="0" applyNumberFormat="1" applyFont="1" applyFill="1" applyBorder="1" applyAlignment="1" applyProtection="1">
      <alignment horizontal="center" vertical="center"/>
      <protection hidden="1"/>
    </xf>
    <xf numFmtId="172" fontId="2" fillId="5" borderId="41" xfId="0" applyNumberFormat="1" applyFont="1" applyFill="1" applyBorder="1" applyAlignment="1" applyProtection="1">
      <alignment horizontal="center" vertical="center"/>
      <protection hidden="1"/>
    </xf>
    <xf numFmtId="172" fontId="2" fillId="5" borderId="51" xfId="0" applyNumberFormat="1" applyFont="1" applyFill="1" applyBorder="1" applyAlignment="1" applyProtection="1">
      <alignment horizontal="center" vertical="center"/>
      <protection hidden="1"/>
    </xf>
    <xf numFmtId="172" fontId="2" fillId="5" borderId="35" xfId="0" applyNumberFormat="1" applyFont="1" applyFill="1" applyBorder="1" applyAlignment="1" applyProtection="1">
      <alignment horizontal="center" vertical="center"/>
      <protection hidden="1"/>
    </xf>
    <xf numFmtId="0" fontId="2" fillId="5" borderId="21" xfId="4" applyFont="1" applyFill="1" applyBorder="1" applyAlignment="1" applyProtection="1">
      <alignment horizontal="center" vertical="center" wrapText="1"/>
      <protection hidden="1"/>
    </xf>
    <xf numFmtId="0" fontId="2" fillId="5" borderId="59" xfId="4" applyFont="1" applyFill="1" applyBorder="1" applyAlignment="1" applyProtection="1">
      <alignment horizontal="center" vertical="center" wrapText="1"/>
      <protection hidden="1"/>
    </xf>
    <xf numFmtId="0" fontId="2" fillId="5" borderId="23" xfId="4" applyFont="1" applyFill="1" applyBorder="1" applyAlignment="1" applyProtection="1">
      <alignment horizontal="center" vertical="center" wrapText="1"/>
      <protection hidden="1"/>
    </xf>
    <xf numFmtId="0" fontId="2" fillId="5" borderId="10" xfId="4" applyFont="1" applyFill="1" applyBorder="1" applyAlignment="1" applyProtection="1">
      <alignment horizontal="center" vertical="center" wrapText="1"/>
      <protection hidden="1"/>
    </xf>
    <xf numFmtId="0" fontId="2" fillId="5" borderId="0" xfId="4" applyFont="1" applyFill="1" applyBorder="1" applyAlignment="1" applyProtection="1">
      <alignment horizontal="center" vertical="center" wrapText="1"/>
      <protection hidden="1"/>
    </xf>
    <xf numFmtId="0" fontId="2" fillId="5" borderId="11" xfId="4" applyFont="1" applyFill="1" applyBorder="1" applyAlignment="1" applyProtection="1">
      <alignment horizontal="center" vertical="center" wrapText="1"/>
      <protection hidden="1"/>
    </xf>
    <xf numFmtId="0" fontId="2" fillId="5" borderId="88" xfId="4" applyFont="1" applyFill="1" applyBorder="1" applyAlignment="1" applyProtection="1">
      <alignment horizontal="center" vertical="center"/>
      <protection hidden="1"/>
    </xf>
    <xf numFmtId="0" fontId="2" fillId="5" borderId="89" xfId="4" applyFont="1" applyFill="1" applyBorder="1" applyAlignment="1" applyProtection="1">
      <alignment horizontal="center" vertical="center"/>
      <protection hidden="1"/>
    </xf>
    <xf numFmtId="0" fontId="2" fillId="5" borderId="83" xfId="4" applyFont="1" applyFill="1" applyBorder="1" applyAlignment="1" applyProtection="1">
      <alignment horizontal="center" vertical="center"/>
      <protection hidden="1"/>
    </xf>
    <xf numFmtId="0" fontId="2" fillId="5" borderId="4" xfId="4" applyFont="1" applyFill="1" applyBorder="1" applyAlignment="1" applyProtection="1">
      <alignment horizontal="center" vertical="top" wrapText="1"/>
      <protection hidden="1"/>
    </xf>
    <xf numFmtId="0" fontId="2" fillId="5" borderId="8" xfId="4" applyFont="1" applyFill="1" applyBorder="1" applyAlignment="1" applyProtection="1">
      <alignment horizontal="center" vertical="top" wrapText="1"/>
      <protection hidden="1"/>
    </xf>
    <xf numFmtId="0" fontId="2" fillId="13" borderId="0" xfId="4" applyFont="1" applyFill="1" applyAlignment="1" applyProtection="1">
      <alignment horizontal="center" vertical="top" wrapText="1"/>
      <protection hidden="1"/>
    </xf>
    <xf numFmtId="172" fontId="18" fillId="6" borderId="21" xfId="0" applyNumberFormat="1" applyFont="1" applyFill="1" applyBorder="1" applyAlignment="1" applyProtection="1">
      <alignment horizontal="center" vertical="center"/>
      <protection hidden="1"/>
    </xf>
    <xf numFmtId="172" fontId="18" fillId="6" borderId="59" xfId="0" applyNumberFormat="1" applyFont="1" applyFill="1" applyBorder="1" applyAlignment="1" applyProtection="1">
      <alignment horizontal="center" vertical="center"/>
      <protection hidden="1"/>
    </xf>
    <xf numFmtId="172" fontId="18" fillId="6" borderId="23" xfId="0" applyNumberFormat="1" applyFont="1" applyFill="1" applyBorder="1" applyAlignment="1" applyProtection="1">
      <alignment horizontal="center" vertical="center"/>
      <protection hidden="1"/>
    </xf>
    <xf numFmtId="172" fontId="18" fillId="6" borderId="74" xfId="0" applyNumberFormat="1" applyFont="1" applyFill="1" applyBorder="1" applyAlignment="1" applyProtection="1">
      <alignment horizontal="center" vertical="top" wrapText="1"/>
      <protection hidden="1"/>
    </xf>
    <xf numFmtId="172" fontId="18" fillId="6" borderId="6" xfId="0" applyNumberFormat="1" applyFont="1" applyFill="1" applyBorder="1" applyAlignment="1" applyProtection="1">
      <alignment horizontal="center" vertical="top" wrapText="1"/>
      <protection hidden="1"/>
    </xf>
    <xf numFmtId="172" fontId="29" fillId="6" borderId="5" xfId="0" applyNumberFormat="1" applyFont="1" applyFill="1" applyBorder="1" applyAlignment="1" applyProtection="1">
      <alignment horizontal="center" vertical="top" wrapText="1"/>
      <protection hidden="1"/>
    </xf>
    <xf numFmtId="172" fontId="29" fillId="6" borderId="7" xfId="0" applyNumberFormat="1" applyFont="1" applyFill="1" applyBorder="1" applyAlignment="1" applyProtection="1">
      <alignment horizontal="center" vertical="top" wrapText="1"/>
      <protection hidden="1"/>
    </xf>
    <xf numFmtId="172" fontId="2" fillId="5" borderId="74" xfId="0" applyNumberFormat="1" applyFont="1" applyFill="1" applyBorder="1" applyAlignment="1" applyProtection="1">
      <alignment horizontal="center" vertical="top" wrapText="1"/>
      <protection hidden="1"/>
    </xf>
    <xf numFmtId="172" fontId="2" fillId="5" borderId="6" xfId="0" applyNumberFormat="1" applyFont="1" applyFill="1" applyBorder="1" applyAlignment="1" applyProtection="1">
      <alignment horizontal="center" vertical="top" wrapText="1"/>
      <protection hidden="1"/>
    </xf>
    <xf numFmtId="0" fontId="2" fillId="5" borderId="6" xfId="4" applyFont="1" applyFill="1" applyBorder="1" applyAlignment="1" applyProtection="1">
      <alignment horizontal="center" vertical="top" wrapText="1"/>
      <protection hidden="1"/>
    </xf>
    <xf numFmtId="0" fontId="2" fillId="5" borderId="74" xfId="4" applyFont="1" applyFill="1" applyBorder="1" applyAlignment="1" applyProtection="1">
      <alignment horizontal="center" vertical="top" wrapText="1"/>
      <protection hidden="1"/>
    </xf>
    <xf numFmtId="172" fontId="31" fillId="11" borderId="21" xfId="0" applyNumberFormat="1" applyFont="1" applyFill="1" applyBorder="1" applyAlignment="1" applyProtection="1">
      <alignment horizontal="center" vertical="center"/>
      <protection hidden="1"/>
    </xf>
    <xf numFmtId="172" fontId="31" fillId="11" borderId="59" xfId="0" applyNumberFormat="1" applyFont="1" applyFill="1" applyBorder="1" applyAlignment="1" applyProtection="1">
      <alignment horizontal="center" vertical="center"/>
      <protection hidden="1"/>
    </xf>
    <xf numFmtId="172" fontId="31" fillId="11" borderId="23" xfId="0" applyNumberFormat="1" applyFont="1" applyFill="1" applyBorder="1" applyAlignment="1" applyProtection="1">
      <alignment horizontal="center" vertical="center"/>
      <protection hidden="1"/>
    </xf>
    <xf numFmtId="172" fontId="31" fillId="11" borderId="74" xfId="0" applyNumberFormat="1" applyFont="1" applyFill="1" applyBorder="1" applyAlignment="1" applyProtection="1">
      <alignment horizontal="center" vertical="top" wrapText="1"/>
      <protection hidden="1"/>
    </xf>
    <xf numFmtId="172" fontId="31" fillId="11" borderId="6" xfId="0" applyNumberFormat="1" applyFont="1" applyFill="1" applyBorder="1" applyAlignment="1" applyProtection="1">
      <alignment horizontal="center" vertical="top" wrapText="1"/>
      <protection hidden="1"/>
    </xf>
    <xf numFmtId="172" fontId="31" fillId="11" borderId="5" xfId="0" applyNumberFormat="1" applyFont="1" applyFill="1" applyBorder="1" applyAlignment="1" applyProtection="1">
      <alignment horizontal="center" vertical="top" wrapText="1"/>
      <protection hidden="1"/>
    </xf>
    <xf numFmtId="172" fontId="31" fillId="11" borderId="7" xfId="0" applyNumberFormat="1" applyFont="1" applyFill="1" applyBorder="1" applyAlignment="1" applyProtection="1">
      <alignment horizontal="center" vertical="top" wrapText="1"/>
      <protection hidden="1"/>
    </xf>
    <xf numFmtId="172" fontId="2" fillId="0" borderId="41" xfId="4" applyNumberFormat="1" applyFont="1" applyFill="1" applyBorder="1" applyAlignment="1" applyProtection="1">
      <alignment horizontal="left" vertical="center" indent="1"/>
      <protection hidden="1"/>
    </xf>
    <xf numFmtId="172" fontId="2" fillId="0" borderId="51" xfId="4" applyNumberFormat="1" applyFont="1" applyFill="1" applyBorder="1" applyAlignment="1" applyProtection="1">
      <alignment horizontal="left" vertical="center" indent="1"/>
      <protection hidden="1"/>
    </xf>
    <xf numFmtId="172" fontId="2" fillId="0" borderId="32" xfId="4" applyNumberFormat="1" applyFont="1" applyFill="1" applyBorder="1" applyAlignment="1" applyProtection="1">
      <alignment horizontal="left" vertical="center" indent="1"/>
      <protection hidden="1"/>
    </xf>
    <xf numFmtId="0" fontId="2" fillId="5" borderId="26" xfId="4" applyFont="1" applyFill="1" applyBorder="1" applyAlignment="1" applyProtection="1">
      <alignment horizontal="center" vertical="top" wrapText="1"/>
      <protection hidden="1"/>
    </xf>
    <xf numFmtId="0" fontId="2" fillId="5" borderId="12" xfId="4" applyFont="1" applyFill="1" applyBorder="1" applyAlignment="1" applyProtection="1">
      <alignment horizontal="center" vertical="top" wrapText="1"/>
      <protection hidden="1"/>
    </xf>
    <xf numFmtId="0" fontId="2" fillId="5" borderId="21" xfId="0" applyFont="1" applyFill="1" applyBorder="1" applyAlignment="1" applyProtection="1">
      <alignment horizontal="center" vertical="center"/>
      <protection hidden="1"/>
    </xf>
    <xf numFmtId="0" fontId="2" fillId="5" borderId="59" xfId="0" applyFont="1" applyFill="1" applyBorder="1" applyAlignment="1" applyProtection="1">
      <alignment horizontal="center" vertical="center"/>
      <protection hidden="1"/>
    </xf>
    <xf numFmtId="0" fontId="2" fillId="5" borderId="23" xfId="0" applyFont="1" applyFill="1" applyBorder="1" applyAlignment="1" applyProtection="1">
      <alignment horizontal="center" vertical="center"/>
      <protection hidden="1"/>
    </xf>
    <xf numFmtId="0" fontId="2" fillId="5" borderId="88" xfId="4" applyFont="1" applyFill="1" applyBorder="1" applyAlignment="1" applyProtection="1">
      <alignment horizontal="center" vertical="center" wrapText="1"/>
      <protection hidden="1"/>
    </xf>
    <xf numFmtId="172" fontId="2" fillId="6" borderId="0" xfId="0" applyNumberFormat="1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top" wrapText="1"/>
      <protection hidden="1"/>
    </xf>
    <xf numFmtId="0" fontId="6" fillId="2" borderId="15" xfId="0" applyFont="1" applyFill="1" applyBorder="1" applyAlignment="1" applyProtection="1">
      <alignment horizontal="center" vertical="top" wrapText="1"/>
      <protection hidden="1"/>
    </xf>
    <xf numFmtId="0" fontId="6" fillId="2" borderId="42" xfId="0" applyFont="1" applyFill="1" applyBorder="1" applyAlignment="1" applyProtection="1">
      <alignment horizontal="center" vertical="top" wrapText="1"/>
      <protection hidden="1"/>
    </xf>
    <xf numFmtId="0" fontId="6" fillId="2" borderId="75" xfId="0" applyFont="1" applyFill="1" applyBorder="1" applyAlignment="1" applyProtection="1">
      <alignment horizontal="center" vertical="top" wrapText="1"/>
      <protection hidden="1"/>
    </xf>
    <xf numFmtId="0" fontId="6" fillId="2" borderId="22" xfId="0" applyFont="1" applyFill="1" applyBorder="1" applyAlignment="1" applyProtection="1">
      <alignment horizontal="center" vertical="center" wrapText="1"/>
      <protection hidden="1"/>
    </xf>
    <xf numFmtId="0" fontId="6" fillId="2" borderId="13" xfId="0" applyFont="1" applyFill="1" applyBorder="1" applyAlignment="1" applyProtection="1">
      <alignment horizontal="center" vertical="center" wrapText="1"/>
      <protection hidden="1"/>
    </xf>
    <xf numFmtId="0" fontId="6" fillId="2" borderId="25" xfId="0" applyFont="1" applyFill="1" applyBorder="1" applyAlignment="1" applyProtection="1">
      <alignment horizontal="center" vertical="center" wrapText="1"/>
      <protection hidden="1"/>
    </xf>
    <xf numFmtId="0" fontId="6" fillId="2" borderId="16" xfId="0" applyFont="1" applyFill="1" applyBorder="1" applyAlignment="1" applyProtection="1">
      <alignment horizontal="center" vertical="center" wrapText="1"/>
      <protection hidden="1"/>
    </xf>
    <xf numFmtId="0" fontId="6" fillId="13" borderId="0" xfId="0" applyFont="1" applyFill="1" applyAlignment="1" applyProtection="1">
      <alignment horizontal="center" vertical="top" wrapText="1"/>
      <protection hidden="1"/>
    </xf>
    <xf numFmtId="0" fontId="6" fillId="2" borderId="47" xfId="0" applyFont="1" applyFill="1" applyBorder="1" applyAlignment="1" applyProtection="1">
      <alignment horizontal="center" vertical="center" wrapText="1"/>
      <protection hidden="1"/>
    </xf>
    <xf numFmtId="0" fontId="6" fillId="2" borderId="87" xfId="0" applyFont="1" applyFill="1" applyBorder="1" applyAlignment="1" applyProtection="1">
      <alignment horizontal="center" vertical="center" wrapText="1"/>
      <protection hidden="1"/>
    </xf>
    <xf numFmtId="0" fontId="6" fillId="2" borderId="84" xfId="0" applyFont="1" applyFill="1" applyBorder="1" applyAlignment="1" applyProtection="1">
      <alignment horizontal="center" vertical="top" wrapText="1"/>
      <protection hidden="1"/>
    </xf>
    <xf numFmtId="0" fontId="6" fillId="2" borderId="50" xfId="0" applyFont="1" applyFill="1" applyBorder="1" applyAlignment="1" applyProtection="1">
      <alignment horizontal="center" vertical="top" wrapText="1"/>
      <protection hidden="1"/>
    </xf>
    <xf numFmtId="0" fontId="6" fillId="2" borderId="85" xfId="0" applyFont="1" applyFill="1" applyBorder="1" applyAlignment="1" applyProtection="1">
      <alignment horizontal="center" vertical="top" wrapText="1"/>
      <protection hidden="1"/>
    </xf>
    <xf numFmtId="0" fontId="6" fillId="2" borderId="52" xfId="0" applyFont="1" applyFill="1" applyBorder="1" applyAlignment="1" applyProtection="1">
      <alignment horizontal="center" vertical="top" wrapText="1"/>
      <protection hidden="1"/>
    </xf>
    <xf numFmtId="0" fontId="2" fillId="2" borderId="5" xfId="0" applyFont="1" applyFill="1" applyBorder="1" applyAlignment="1" applyProtection="1">
      <alignment horizontal="center" vertical="top" wrapText="1"/>
      <protection hidden="1"/>
    </xf>
    <xf numFmtId="0" fontId="2" fillId="2" borderId="7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2" fillId="4" borderId="7" xfId="0" applyFont="1" applyFill="1" applyBorder="1" applyAlignment="1" applyProtection="1">
      <alignment horizontal="center" vertical="top" wrapText="1"/>
      <protection hidden="1"/>
    </xf>
    <xf numFmtId="0" fontId="2" fillId="4" borderId="41" xfId="0" applyFont="1" applyFill="1" applyBorder="1" applyAlignment="1" applyProtection="1">
      <alignment horizontal="center" vertical="center" wrapText="1"/>
      <protection hidden="1"/>
    </xf>
    <xf numFmtId="0" fontId="2" fillId="4" borderId="51" xfId="0" applyFont="1" applyFill="1" applyBorder="1" applyAlignment="1" applyProtection="1">
      <alignment horizontal="center" vertical="center" wrapText="1"/>
      <protection hidden="1"/>
    </xf>
    <xf numFmtId="0" fontId="2" fillId="4" borderId="35" xfId="0" applyFont="1" applyFill="1" applyBorder="1" applyAlignment="1" applyProtection="1">
      <alignment horizontal="center" vertical="center" wrapText="1"/>
      <protection hidden="1"/>
    </xf>
    <xf numFmtId="0" fontId="2" fillId="0" borderId="41" xfId="0" applyFont="1" applyFill="1" applyBorder="1" applyAlignment="1" applyProtection="1">
      <alignment horizontal="left" vertical="center" indent="1"/>
      <protection hidden="1"/>
    </xf>
    <xf numFmtId="0" fontId="2" fillId="0" borderId="51" xfId="0" applyFont="1" applyFill="1" applyBorder="1" applyAlignment="1" applyProtection="1">
      <alignment horizontal="left" vertical="center" indent="1"/>
      <protection hidden="1"/>
    </xf>
    <xf numFmtId="0" fontId="2" fillId="0" borderId="32" xfId="0" applyFont="1" applyFill="1" applyBorder="1" applyAlignment="1" applyProtection="1">
      <alignment horizontal="left" vertical="center" indent="1"/>
      <protection hidden="1"/>
    </xf>
    <xf numFmtId="0" fontId="2" fillId="4" borderId="89" xfId="0" applyFont="1" applyFill="1" applyBorder="1" applyAlignment="1" applyProtection="1">
      <alignment horizontal="center" vertical="center" wrapText="1"/>
      <protection hidden="1"/>
    </xf>
    <xf numFmtId="0" fontId="2" fillId="4" borderId="82" xfId="0" applyFont="1" applyFill="1" applyBorder="1" applyAlignment="1" applyProtection="1">
      <alignment horizontal="center" vertical="center" wrapText="1"/>
      <protection hidden="1"/>
    </xf>
    <xf numFmtId="0" fontId="2" fillId="4" borderId="90" xfId="0" applyFont="1" applyFill="1" applyBorder="1" applyAlignment="1" applyProtection="1">
      <alignment horizontal="center" vertical="center" wrapText="1"/>
      <protection hidden="1"/>
    </xf>
    <xf numFmtId="0" fontId="5" fillId="0" borderId="89" xfId="0" applyFont="1" applyBorder="1" applyAlignment="1" applyProtection="1">
      <alignment horizontal="center" vertical="center" wrapText="1"/>
      <protection hidden="1"/>
    </xf>
    <xf numFmtId="0" fontId="5" fillId="0" borderId="83" xfId="0" applyFont="1" applyBorder="1" applyAlignment="1" applyProtection="1">
      <alignment horizontal="center" vertical="center" wrapText="1"/>
      <protection hidden="1"/>
    </xf>
    <xf numFmtId="0" fontId="2" fillId="0" borderId="47" xfId="0" applyFont="1" applyFill="1" applyBorder="1" applyAlignment="1" applyProtection="1">
      <alignment horizontal="left" vertical="center" indent="1"/>
      <protection hidden="1"/>
    </xf>
    <xf numFmtId="0" fontId="2" fillId="0" borderId="86" xfId="0" applyFont="1" applyFill="1" applyBorder="1" applyAlignment="1" applyProtection="1">
      <alignment horizontal="left" vertical="center" indent="1"/>
      <protection hidden="1"/>
    </xf>
    <xf numFmtId="0" fontId="2" fillId="0" borderId="87" xfId="0" applyFont="1" applyFill="1" applyBorder="1" applyAlignment="1" applyProtection="1">
      <alignment horizontal="left" vertical="center" indent="1"/>
      <protection hidden="1"/>
    </xf>
    <xf numFmtId="0" fontId="2" fillId="4" borderId="90" xfId="0" applyFont="1" applyFill="1" applyBorder="1" applyAlignment="1" applyProtection="1">
      <alignment horizontal="center" vertical="center"/>
      <protection hidden="1"/>
    </xf>
    <xf numFmtId="0" fontId="2" fillId="4" borderId="89" xfId="0" applyFont="1" applyFill="1" applyBorder="1" applyAlignment="1" applyProtection="1">
      <alignment horizontal="center" vertical="center"/>
      <protection hidden="1"/>
    </xf>
    <xf numFmtId="0" fontId="2" fillId="4" borderId="83" xfId="0" applyFont="1" applyFill="1" applyBorder="1" applyAlignment="1" applyProtection="1">
      <alignment horizontal="center" vertical="center"/>
      <protection hidden="1"/>
    </xf>
    <xf numFmtId="0" fontId="2" fillId="4" borderId="41" xfId="0" applyFont="1" applyFill="1" applyBorder="1" applyAlignment="1" applyProtection="1">
      <alignment horizontal="center" vertical="center"/>
      <protection hidden="1"/>
    </xf>
    <xf numFmtId="0" fontId="2" fillId="4" borderId="35" xfId="0" applyFont="1" applyFill="1" applyBorder="1" applyAlignment="1" applyProtection="1">
      <alignment horizontal="center" vertical="center"/>
      <protection hidden="1"/>
    </xf>
    <xf numFmtId="0" fontId="2" fillId="4" borderId="83" xfId="0" applyFont="1" applyFill="1" applyBorder="1" applyAlignment="1" applyProtection="1">
      <alignment horizontal="center" vertical="center" wrapText="1"/>
      <protection hidden="1"/>
    </xf>
    <xf numFmtId="0" fontId="2" fillId="3" borderId="41" xfId="9" applyFont="1" applyFill="1" applyBorder="1" applyAlignment="1" applyProtection="1">
      <alignment horizontal="center" vertical="center"/>
      <protection hidden="1"/>
    </xf>
    <xf numFmtId="0" fontId="2" fillId="3" borderId="51" xfId="9" applyFont="1" applyFill="1" applyBorder="1" applyAlignment="1" applyProtection="1">
      <alignment horizontal="center" vertical="center"/>
      <protection hidden="1"/>
    </xf>
    <xf numFmtId="0" fontId="2" fillId="3" borderId="32" xfId="9" applyFont="1" applyFill="1" applyBorder="1" applyAlignment="1" applyProtection="1">
      <alignment horizontal="center" vertical="center"/>
      <protection hidden="1"/>
    </xf>
    <xf numFmtId="0" fontId="2" fillId="3" borderId="11" xfId="9" applyFont="1" applyFill="1" applyBorder="1" applyAlignment="1" applyProtection="1">
      <alignment horizontal="center" vertical="top" wrapText="1"/>
      <protection hidden="1"/>
    </xf>
    <xf numFmtId="0" fontId="2" fillId="3" borderId="88" xfId="9" applyFont="1" applyFill="1" applyBorder="1" applyAlignment="1" applyProtection="1">
      <alignment horizontal="center" vertical="center"/>
      <protection hidden="1"/>
    </xf>
    <xf numFmtId="0" fontId="2" fillId="3" borderId="89" xfId="9" applyFont="1" applyFill="1" applyBorder="1" applyAlignment="1" applyProtection="1">
      <alignment horizontal="center" vertical="center"/>
      <protection hidden="1"/>
    </xf>
    <xf numFmtId="0" fontId="2" fillId="3" borderId="83" xfId="9" applyFont="1" applyFill="1" applyBorder="1" applyAlignment="1" applyProtection="1">
      <alignment horizontal="center" vertical="center"/>
      <protection hidden="1"/>
    </xf>
    <xf numFmtId="0" fontId="6" fillId="13" borderId="6" xfId="0" applyFont="1" applyFill="1" applyBorder="1" applyAlignment="1" applyProtection="1">
      <alignment horizontal="center" vertical="top" wrapText="1"/>
      <protection hidden="1"/>
    </xf>
    <xf numFmtId="0" fontId="6" fillId="13" borderId="15" xfId="0" applyFont="1" applyFill="1" applyBorder="1" applyAlignment="1" applyProtection="1">
      <alignment horizontal="center" vertical="top" wrapText="1"/>
      <protection hidden="1"/>
    </xf>
    <xf numFmtId="0" fontId="6" fillId="13" borderId="7" xfId="0" applyFont="1" applyFill="1" applyBorder="1" applyAlignment="1" applyProtection="1">
      <alignment horizontal="center" vertical="top" wrapText="1"/>
      <protection hidden="1"/>
    </xf>
    <xf numFmtId="0" fontId="6" fillId="13" borderId="88" xfId="0" applyFont="1" applyFill="1" applyBorder="1" applyAlignment="1" applyProtection="1">
      <alignment horizontal="center" vertical="center"/>
      <protection hidden="1"/>
    </xf>
    <xf numFmtId="0" fontId="6" fillId="13" borderId="89" xfId="0" applyFont="1" applyFill="1" applyBorder="1" applyAlignment="1" applyProtection="1">
      <alignment horizontal="center" vertical="center"/>
      <protection hidden="1"/>
    </xf>
    <xf numFmtId="0" fontId="6" fillId="13" borderId="83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top" wrapText="1"/>
      <protection hidden="1"/>
    </xf>
    <xf numFmtId="0" fontId="2" fillId="2" borderId="67" xfId="0" applyFont="1" applyFill="1" applyBorder="1" applyAlignment="1" applyProtection="1">
      <alignment horizontal="center" vertical="center" wrapText="1"/>
      <protection hidden="1"/>
    </xf>
    <xf numFmtId="0" fontId="2" fillId="2" borderId="46" xfId="0" applyFont="1" applyFill="1" applyBorder="1" applyAlignment="1" applyProtection="1">
      <alignment horizontal="center" vertical="center" wrapText="1"/>
      <protection hidden="1"/>
    </xf>
    <xf numFmtId="0" fontId="2" fillId="2" borderId="74" xfId="0" applyFont="1" applyFill="1" applyBorder="1" applyAlignment="1" applyProtection="1">
      <alignment horizontal="center" vertical="top" wrapText="1"/>
      <protection hidden="1"/>
    </xf>
    <xf numFmtId="0" fontId="2" fillId="2" borderId="6" xfId="0" applyFont="1" applyFill="1" applyBorder="1" applyAlignment="1" applyProtection="1">
      <alignment horizontal="center" vertical="top" wrapText="1"/>
      <protection hidden="1"/>
    </xf>
    <xf numFmtId="0" fontId="2" fillId="2" borderId="27" xfId="0" applyFont="1" applyFill="1" applyBorder="1" applyAlignment="1" applyProtection="1">
      <alignment horizontal="center" vertical="top" wrapText="1"/>
      <protection hidden="1"/>
    </xf>
    <xf numFmtId="0" fontId="2" fillId="2" borderId="21" xfId="0" applyFont="1" applyFill="1" applyBorder="1" applyAlignment="1" applyProtection="1">
      <alignment horizontal="center" vertical="center"/>
      <protection hidden="1"/>
    </xf>
    <xf numFmtId="0" fontId="2" fillId="2" borderId="59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6" fillId="13" borderId="8" xfId="0" applyFont="1" applyFill="1" applyBorder="1" applyAlignment="1" applyProtection="1">
      <alignment horizontal="center" vertical="top" wrapText="1"/>
      <protection hidden="1"/>
    </xf>
    <xf numFmtId="0" fontId="6" fillId="13" borderId="16" xfId="0" applyFont="1" applyFill="1" applyBorder="1" applyAlignment="1" applyProtection="1">
      <alignment horizontal="center" vertical="top" wrapText="1"/>
      <protection hidden="1"/>
    </xf>
    <xf numFmtId="0" fontId="2" fillId="3" borderId="22" xfId="0" applyFont="1" applyFill="1" applyBorder="1" applyAlignment="1" applyProtection="1">
      <alignment horizontal="center" vertical="top" wrapText="1"/>
      <protection hidden="1"/>
    </xf>
    <xf numFmtId="0" fontId="2" fillId="3" borderId="7" xfId="0" applyFont="1" applyFill="1" applyBorder="1" applyAlignment="1" applyProtection="1">
      <alignment horizontal="center" vertical="top" wrapText="1"/>
      <protection hidden="1"/>
    </xf>
    <xf numFmtId="0" fontId="2" fillId="0" borderId="41" xfId="0" quotePrefix="1" applyFont="1" applyFill="1" applyBorder="1" applyAlignment="1" applyProtection="1">
      <alignment horizontal="left" vertical="center" indent="1"/>
      <protection hidden="1"/>
    </xf>
    <xf numFmtId="0" fontId="2" fillId="0" borderId="51" xfId="0" quotePrefix="1" applyFont="1" applyFill="1" applyBorder="1" applyAlignment="1" applyProtection="1">
      <alignment horizontal="left" vertical="center" indent="1"/>
      <protection hidden="1"/>
    </xf>
    <xf numFmtId="0" fontId="2" fillId="0" borderId="32" xfId="0" quotePrefix="1" applyFont="1" applyFill="1" applyBorder="1" applyAlignment="1" applyProtection="1">
      <alignment horizontal="left" vertical="center" indent="1"/>
      <protection hidden="1"/>
    </xf>
    <xf numFmtId="0" fontId="2" fillId="2" borderId="90" xfId="0" applyFont="1" applyFill="1" applyBorder="1" applyAlignment="1" applyProtection="1">
      <alignment horizontal="center" vertical="center" wrapText="1"/>
      <protection hidden="1"/>
    </xf>
    <xf numFmtId="0" fontId="2" fillId="2" borderId="89" xfId="0" applyFont="1" applyFill="1" applyBorder="1" applyAlignment="1" applyProtection="1">
      <alignment horizontal="center" vertical="center" wrapText="1"/>
      <protection hidden="1"/>
    </xf>
    <xf numFmtId="0" fontId="2" fillId="2" borderId="83" xfId="0" applyFont="1" applyFill="1" applyBorder="1" applyAlignment="1" applyProtection="1">
      <alignment horizontal="center" vertical="center" wrapText="1"/>
      <protection hidden="1"/>
    </xf>
    <xf numFmtId="0" fontId="2" fillId="0" borderId="9" xfId="0" applyFont="1" applyFill="1" applyBorder="1" applyAlignment="1" applyProtection="1">
      <alignment horizontal="center" vertical="top" wrapText="1"/>
      <protection hidden="1"/>
    </xf>
    <xf numFmtId="0" fontId="5" fillId="0" borderId="40" xfId="5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51" xfId="5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94" xfId="5" applyNumberFormat="1" applyFont="1" applyFill="1" applyBorder="1" applyAlignment="1" applyProtection="1">
      <alignment horizontal="left" vertical="center" wrapText="1" indent="1"/>
      <protection locked="0"/>
    </xf>
    <xf numFmtId="172" fontId="2" fillId="5" borderId="90" xfId="0" applyNumberFormat="1" applyFont="1" applyFill="1" applyBorder="1" applyAlignment="1" applyProtection="1">
      <alignment horizontal="center" vertical="center" wrapText="1"/>
      <protection hidden="1"/>
    </xf>
    <xf numFmtId="172" fontId="2" fillId="5" borderId="89" xfId="0" applyNumberFormat="1" applyFont="1" applyFill="1" applyBorder="1" applyAlignment="1" applyProtection="1">
      <alignment horizontal="center" vertical="center" wrapText="1"/>
      <protection hidden="1"/>
    </xf>
    <xf numFmtId="172" fontId="2" fillId="5" borderId="8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7" xfId="0" applyNumberFormat="1" applyFont="1" applyFill="1" applyBorder="1" applyAlignment="1" applyProtection="1">
      <alignment horizontal="left" vertical="center" indent="1"/>
      <protection hidden="1"/>
    </xf>
    <xf numFmtId="0" fontId="2" fillId="0" borderId="86" xfId="0" applyNumberFormat="1" applyFont="1" applyFill="1" applyBorder="1" applyAlignment="1" applyProtection="1">
      <alignment horizontal="left" vertical="center" indent="1"/>
      <protection hidden="1"/>
    </xf>
    <xf numFmtId="0" fontId="2" fillId="0" borderId="87" xfId="0" applyNumberFormat="1" applyFont="1" applyFill="1" applyBorder="1" applyAlignment="1" applyProtection="1">
      <alignment horizontal="left" vertical="center" indent="1"/>
      <protection hidden="1"/>
    </xf>
    <xf numFmtId="172" fontId="2" fillId="5" borderId="90" xfId="0" applyNumberFormat="1" applyFont="1" applyFill="1" applyBorder="1" applyAlignment="1" applyProtection="1">
      <alignment horizontal="center" vertical="top" wrapText="1"/>
      <protection hidden="1"/>
    </xf>
    <xf numFmtId="0" fontId="5" fillId="5" borderId="82" xfId="0" applyFont="1" applyFill="1" applyBorder="1" applyAlignment="1" applyProtection="1">
      <alignment horizontal="center" vertical="top" wrapText="1"/>
      <protection hidden="1"/>
    </xf>
    <xf numFmtId="0" fontId="13" fillId="5" borderId="48" xfId="0" applyFont="1" applyFill="1" applyBorder="1" applyAlignment="1" applyProtection="1">
      <alignment horizontal="left" vertical="center" wrapText="1" indent="2"/>
      <protection hidden="1"/>
    </xf>
    <xf numFmtId="0" fontId="5" fillId="0" borderId="102" xfId="0" applyFont="1" applyBorder="1" applyAlignment="1" applyProtection="1">
      <alignment horizontal="left" vertical="center" wrapText="1" indent="2"/>
      <protection hidden="1"/>
    </xf>
    <xf numFmtId="0" fontId="5" fillId="0" borderId="82" xfId="0" applyFont="1" applyBorder="1" applyAlignment="1" applyProtection="1">
      <alignment horizontal="center" vertical="top" wrapText="1"/>
      <protection hidden="1"/>
    </xf>
    <xf numFmtId="0" fontId="6" fillId="0" borderId="88" xfId="0" applyFont="1" applyFill="1" applyBorder="1" applyAlignment="1">
      <alignment horizontal="center" vertical="top" wrapText="1"/>
    </xf>
    <xf numFmtId="0" fontId="6" fillId="0" borderId="83" xfId="0" applyFont="1" applyFill="1" applyBorder="1" applyAlignment="1">
      <alignment horizontal="center" vertical="top" wrapText="1"/>
    </xf>
    <xf numFmtId="0" fontId="6" fillId="0" borderId="90" xfId="0" applyFont="1" applyFill="1" applyBorder="1" applyAlignment="1">
      <alignment horizontal="center" vertical="top" wrapText="1"/>
    </xf>
    <xf numFmtId="0" fontId="6" fillId="0" borderId="82" xfId="0" applyFont="1" applyFill="1" applyBorder="1" applyAlignment="1">
      <alignment horizontal="center" vertical="top" wrapText="1"/>
    </xf>
    <xf numFmtId="0" fontId="6" fillId="0" borderId="90" xfId="0" applyFont="1" applyFill="1" applyBorder="1" applyAlignment="1">
      <alignment horizontal="center" vertical="top"/>
    </xf>
    <xf numFmtId="0" fontId="6" fillId="0" borderId="83" xfId="0" applyFont="1" applyFill="1" applyBorder="1" applyAlignment="1">
      <alignment horizontal="center" vertical="top"/>
    </xf>
    <xf numFmtId="0" fontId="6" fillId="0" borderId="89" xfId="0" applyFont="1" applyFill="1" applyBorder="1" applyAlignment="1">
      <alignment horizontal="center" vertical="top"/>
    </xf>
    <xf numFmtId="0" fontId="6" fillId="0" borderId="90" xfId="8" applyNumberFormat="1" applyFont="1" applyBorder="1" applyAlignment="1" applyProtection="1">
      <alignment horizontal="center" vertical="top" wrapText="1"/>
    </xf>
    <xf numFmtId="0" fontId="6" fillId="0" borderId="82" xfId="8" applyNumberFormat="1" applyFont="1" applyBorder="1" applyAlignment="1" applyProtection="1">
      <alignment horizontal="center" vertical="top" wrapText="1"/>
    </xf>
    <xf numFmtId="0" fontId="6" fillId="0" borderId="82" xfId="0" applyFont="1" applyFill="1" applyBorder="1" applyAlignment="1">
      <alignment horizontal="center" vertical="top"/>
    </xf>
    <xf numFmtId="0" fontId="6" fillId="0" borderId="89" xfId="0" applyFont="1" applyFill="1" applyBorder="1" applyAlignment="1">
      <alignment horizontal="center" vertical="top" wrapText="1"/>
    </xf>
    <xf numFmtId="0" fontId="6" fillId="0" borderId="85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172" fontId="6" fillId="0" borderId="90" xfId="0" applyNumberFormat="1" applyFont="1" applyFill="1" applyBorder="1" applyAlignment="1" applyProtection="1">
      <alignment horizontal="center" vertical="center"/>
      <protection hidden="1"/>
    </xf>
    <xf numFmtId="172" fontId="6" fillId="0" borderId="89" xfId="0" applyNumberFormat="1" applyFont="1" applyFill="1" applyBorder="1" applyAlignment="1" applyProtection="1">
      <alignment horizontal="center" vertical="center"/>
      <protection hidden="1"/>
    </xf>
    <xf numFmtId="172" fontId="6" fillId="0" borderId="82" xfId="0" applyNumberFormat="1" applyFont="1" applyFill="1" applyBorder="1" applyAlignment="1" applyProtection="1">
      <alignment horizontal="center" vertical="center"/>
      <protection hidden="1"/>
    </xf>
    <xf numFmtId="0" fontId="6" fillId="0" borderId="46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176" fontId="6" fillId="0" borderId="5" xfId="5" applyNumberFormat="1" applyFont="1" applyFill="1" applyBorder="1" applyAlignment="1">
      <alignment horizontal="center" vertical="top" wrapText="1"/>
    </xf>
    <xf numFmtId="176" fontId="6" fillId="0" borderId="7" xfId="5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89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40" xfId="0" applyNumberFormat="1" applyFont="1" applyFill="1" applyBorder="1" applyAlignment="1">
      <alignment horizontal="center" vertical="center" wrapText="1"/>
    </xf>
    <xf numFmtId="0" fontId="6" fillId="0" borderId="51" xfId="0" applyNumberFormat="1" applyFont="1" applyFill="1" applyBorder="1" applyAlignment="1">
      <alignment horizontal="center" vertical="center" wrapText="1"/>
    </xf>
    <xf numFmtId="0" fontId="6" fillId="0" borderId="3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top" wrapText="1"/>
    </xf>
    <xf numFmtId="0" fontId="6" fillId="0" borderId="7" xfId="0" applyNumberFormat="1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176" fontId="6" fillId="0" borderId="67" xfId="5" applyNumberFormat="1" applyFont="1" applyFill="1" applyBorder="1" applyAlignment="1">
      <alignment horizontal="center" vertical="top" wrapText="1"/>
    </xf>
    <xf numFmtId="176" fontId="6" fillId="0" borderId="0" xfId="5" applyNumberFormat="1" applyFont="1" applyFill="1" applyBorder="1" applyAlignment="1">
      <alignment horizontal="center" vertical="top" wrapText="1"/>
    </xf>
    <xf numFmtId="0" fontId="0" fillId="0" borderId="89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6" fillId="0" borderId="9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8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64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top" wrapText="1"/>
    </xf>
  </cellXfs>
  <cellStyles count="13">
    <cellStyle name="Comma 2" xfId="1"/>
    <cellStyle name="Comma 2 2" xfId="2"/>
    <cellStyle name="Comma 3" xfId="3"/>
    <cellStyle name="Normal" xfId="0" builtinId="0"/>
    <cellStyle name="Normal 2" xfId="4"/>
    <cellStyle name="Normal 2 2" xfId="5"/>
    <cellStyle name="Normal 2 3" xfId="12"/>
    <cellStyle name="Normal 2_RUK by FSG, 08-09 to 10-11" xfId="11"/>
    <cellStyle name="Normal 3" xfId="6"/>
    <cellStyle name="Normal_ABDN" xfId="7"/>
    <cellStyle name="Normal_GFU and SSI Teaching Grants for 2012-13, Additional Science inc STEM" xfId="8"/>
    <cellStyle name="Normal_Linked Table3 2004-05" xfId="9"/>
    <cellStyle name="Normal_Table1 ABER first cut" xfId="10"/>
  </cellStyles>
  <dxfs count="68"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ill>
        <patternFill patternType="none">
          <bgColor indexed="65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ont>
        <color rgb="FFCCFFFF"/>
      </font>
    </dxf>
    <dxf>
      <fill>
        <patternFill>
          <bgColor rgb="FFCCFFFF"/>
        </patternFill>
      </fill>
    </dxf>
    <dxf>
      <fill>
        <patternFill patternType="none">
          <bgColor indexed="65"/>
        </patternFill>
      </fill>
    </dxf>
    <dxf>
      <font>
        <color rgb="FFCCFFFF"/>
      </font>
    </dxf>
    <dxf>
      <font>
        <color rgb="FFCCFFFF"/>
      </font>
    </dxf>
    <dxf>
      <font>
        <color rgb="FFCCFFFF"/>
      </font>
    </dxf>
    <dxf>
      <font>
        <color rgb="FFCCFFFF"/>
      </font>
    </dxf>
    <dxf>
      <font>
        <color rgb="FFCCFFFF"/>
      </font>
    </dxf>
    <dxf>
      <font>
        <color rgb="FFCCFFFF"/>
      </font>
    </dxf>
    <dxf>
      <font>
        <color rgb="FFCCFFFF"/>
      </font>
    </dxf>
    <dxf>
      <font>
        <color rgb="FFCCFFFF"/>
      </font>
    </dxf>
    <dxf>
      <font>
        <color rgb="FFCCFFFF"/>
      </font>
    </dxf>
    <dxf>
      <font>
        <color rgb="FFCCFFFF"/>
      </font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ill>
        <patternFill>
          <bgColor rgb="FFCCFFFF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ill>
        <patternFill>
          <bgColor rgb="FFFFFFFF"/>
        </patternFill>
      </fill>
    </dxf>
    <dxf>
      <font>
        <color rgb="FFCCFFFF"/>
      </font>
    </dxf>
    <dxf>
      <fill>
        <patternFill>
          <bgColor rgb="FFCCFFFF"/>
        </patternFill>
      </fill>
    </dxf>
    <dxf>
      <fill>
        <patternFill patternType="none">
          <bgColor indexed="65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/>
        <right/>
        <top/>
        <bottom/>
      </border>
    </dxf>
    <dxf>
      <font>
        <b/>
        <i/>
        <condense val="0"/>
        <extend val="0"/>
      </font>
      <fill>
        <patternFill>
          <bgColor indexed="44"/>
        </patternFill>
      </fill>
      <border>
        <left/>
        <right/>
        <top/>
        <bottom/>
      </border>
    </dxf>
    <dxf>
      <font>
        <b/>
        <i val="0"/>
        <condense val="0"/>
        <extend val="0"/>
        <color indexed="10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0"/>
      </font>
    </dxf>
    <dxf>
      <font>
        <color indexed="27"/>
      </font>
    </dxf>
    <dxf>
      <font>
        <color rgb="FFCCFFFF"/>
      </font>
    </dxf>
    <dxf>
      <fill>
        <patternFill>
          <bgColor rgb="FFCCFFFF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CCC0DA"/>
      <color rgb="FFFFFFCC"/>
      <color rgb="FFCC0000"/>
      <color rgb="FFCC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0"/>
  <sheetViews>
    <sheetView tabSelected="1" zoomScale="70" zoomScaleNormal="70" workbookViewId="0"/>
  </sheetViews>
  <sheetFormatPr defaultRowHeight="18.75"/>
  <cols>
    <col min="1" max="1" width="53.140625" style="989" customWidth="1"/>
    <col min="2" max="16" width="13.28515625" style="989" customWidth="1"/>
    <col min="17" max="17" width="16.7109375" style="989" customWidth="1"/>
    <col min="18" max="18" width="5.7109375" style="988" customWidth="1"/>
    <col min="19" max="21" width="13.28515625" style="989" customWidth="1"/>
    <col min="22" max="22" width="5.7109375" style="989" customWidth="1"/>
    <col min="23" max="23" width="15.7109375" style="989" customWidth="1"/>
    <col min="24" max="24" width="2.7109375" style="989" customWidth="1"/>
    <col min="25" max="25" width="6.7109375" style="989" customWidth="1"/>
    <col min="26" max="31" width="13.7109375" style="989" customWidth="1"/>
    <col min="32" max="33" width="6.7109375" style="989" customWidth="1"/>
    <col min="34" max="39" width="13.7109375" style="989" customWidth="1"/>
    <col min="40" max="40" width="6.7109375" style="989" customWidth="1"/>
    <col min="41" max="41" width="9.140625" style="989"/>
    <col min="42" max="42" width="14.7109375" style="989" hidden="1" customWidth="1"/>
    <col min="43" max="16384" width="9.140625" style="989"/>
  </cols>
  <sheetData>
    <row r="1" spans="1:42" s="990" customFormat="1" ht="30" customHeight="1">
      <c r="A1" s="626" t="s">
        <v>260</v>
      </c>
      <c r="B1" s="1121"/>
      <c r="C1" s="1122"/>
      <c r="D1" s="1121"/>
      <c r="E1" s="1123"/>
      <c r="F1" s="1123"/>
      <c r="G1" s="1123"/>
      <c r="H1" s="1123"/>
      <c r="I1" s="1123"/>
      <c r="J1" s="1123"/>
      <c r="K1" s="1123"/>
      <c r="L1" s="1123"/>
      <c r="M1" s="1123"/>
      <c r="N1" s="1123"/>
      <c r="O1" s="1123"/>
      <c r="P1" s="1123"/>
      <c r="Q1" s="1123"/>
      <c r="R1" s="1124"/>
      <c r="S1" s="1123"/>
      <c r="T1" s="1123"/>
      <c r="U1" s="1123"/>
      <c r="V1" s="1123"/>
      <c r="W1" s="1125"/>
      <c r="X1" s="1126"/>
      <c r="Y1" s="1145"/>
      <c r="Z1" s="1146"/>
      <c r="AA1" s="1147"/>
      <c r="AB1" s="1147"/>
      <c r="AC1" s="1146"/>
      <c r="AD1" s="1148"/>
      <c r="AE1" s="1148"/>
      <c r="AF1" s="1149"/>
      <c r="AG1" s="1150"/>
      <c r="AH1" s="1150"/>
      <c r="AI1" s="1150"/>
      <c r="AJ1" s="1150"/>
      <c r="AK1" s="1150"/>
      <c r="AL1" s="1150"/>
      <c r="AM1" s="1150" t="s">
        <v>87</v>
      </c>
      <c r="AN1" s="1151"/>
    </row>
    <row r="2" spans="1:42" s="990" customFormat="1" ht="15" customHeight="1">
      <c r="A2" s="1127"/>
      <c r="B2" s="235"/>
      <c r="C2" s="715"/>
      <c r="D2" s="236"/>
      <c r="E2" s="715"/>
      <c r="F2" s="236"/>
      <c r="G2" s="236"/>
      <c r="H2" s="715"/>
      <c r="I2" s="236"/>
      <c r="J2" s="236"/>
      <c r="K2" s="236"/>
      <c r="L2" s="236"/>
      <c r="M2" s="236"/>
      <c r="N2" s="236"/>
      <c r="O2" s="236"/>
      <c r="P2" s="236"/>
      <c r="Q2" s="236"/>
      <c r="R2" s="112"/>
      <c r="S2" s="236"/>
      <c r="T2" s="236"/>
      <c r="U2" s="236"/>
      <c r="V2" s="236"/>
      <c r="W2" s="16"/>
      <c r="X2" s="237"/>
      <c r="Y2" s="238"/>
      <c r="Z2" s="240"/>
      <c r="AA2" s="239"/>
      <c r="AB2" s="239"/>
      <c r="AC2" s="883"/>
      <c r="AD2" s="883"/>
      <c r="AE2" s="883"/>
      <c r="AF2" s="956"/>
      <c r="AG2" s="901"/>
      <c r="AH2" s="901"/>
      <c r="AI2" s="901"/>
      <c r="AJ2" s="901"/>
      <c r="AK2" s="901"/>
      <c r="AL2" s="901"/>
      <c r="AM2" s="901"/>
      <c r="AN2" s="1138"/>
    </row>
    <row r="3" spans="1:42" s="990" customFormat="1" ht="35.1" customHeight="1">
      <c r="A3" s="1128" t="s">
        <v>0</v>
      </c>
      <c r="B3" s="1209" t="str">
        <f>Background!$D$2</f>
        <v>Glasgow, University of</v>
      </c>
      <c r="C3" s="1210"/>
      <c r="D3" s="1210"/>
      <c r="E3" s="1211"/>
      <c r="F3" s="255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112"/>
      <c r="S3" s="236"/>
      <c r="T3" s="236"/>
      <c r="U3" s="236"/>
      <c r="V3" s="236"/>
      <c r="W3" s="16"/>
      <c r="X3" s="237"/>
      <c r="Y3" s="238"/>
      <c r="Z3" s="240"/>
      <c r="AA3" s="240"/>
      <c r="AB3" s="240"/>
      <c r="AC3" s="240"/>
      <c r="AD3" s="240"/>
      <c r="AE3" s="240"/>
      <c r="AF3" s="957"/>
      <c r="AG3" s="902"/>
      <c r="AH3" s="902"/>
      <c r="AI3" s="902"/>
      <c r="AJ3" s="902"/>
      <c r="AK3" s="902"/>
      <c r="AL3" s="902"/>
      <c r="AM3" s="902"/>
      <c r="AN3" s="1139"/>
    </row>
    <row r="4" spans="1:42" s="991" customFormat="1" ht="34.5" customHeight="1">
      <c r="A4" s="1129" t="s">
        <v>113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12"/>
      <c r="S4" s="16"/>
      <c r="T4" s="16"/>
      <c r="U4" s="16"/>
      <c r="V4" s="16"/>
      <c r="W4" s="16"/>
      <c r="X4" s="104"/>
      <c r="Y4" s="111"/>
      <c r="Z4" s="1218" t="s">
        <v>387</v>
      </c>
      <c r="AA4" s="1218"/>
      <c r="AB4" s="1218"/>
      <c r="AC4" s="1218"/>
      <c r="AD4" s="1218"/>
      <c r="AE4" s="1218"/>
      <c r="AF4" s="958"/>
      <c r="AG4" s="903"/>
      <c r="AH4" s="1168" t="s">
        <v>388</v>
      </c>
      <c r="AI4" s="1168"/>
      <c r="AJ4" s="1168"/>
      <c r="AK4" s="1168"/>
      <c r="AL4" s="1168"/>
      <c r="AM4" s="1168"/>
      <c r="AN4" s="1140"/>
    </row>
    <row r="5" spans="1:42" s="991" customFormat="1" ht="15" customHeight="1" thickBot="1">
      <c r="A5" s="1130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04"/>
      <c r="Y5" s="111"/>
      <c r="Z5" s="115"/>
      <c r="AA5" s="115"/>
      <c r="AB5" s="115"/>
      <c r="AC5" s="884"/>
      <c r="AD5" s="884"/>
      <c r="AE5" s="884"/>
      <c r="AF5" s="958"/>
      <c r="AG5" s="903"/>
      <c r="AH5" s="903"/>
      <c r="AI5" s="903"/>
      <c r="AJ5" s="903"/>
      <c r="AK5" s="903"/>
      <c r="AL5" s="903"/>
      <c r="AM5" s="903"/>
      <c r="AN5" s="1140"/>
    </row>
    <row r="6" spans="1:42" s="991" customFormat="1" ht="35.1" customHeight="1" thickBot="1">
      <c r="A6" s="164"/>
      <c r="B6" s="1169" t="s">
        <v>114</v>
      </c>
      <c r="C6" s="1170"/>
      <c r="D6" s="1170"/>
      <c r="E6" s="1170"/>
      <c r="F6" s="1170"/>
      <c r="G6" s="1170"/>
      <c r="H6" s="1170"/>
      <c r="I6" s="1170"/>
      <c r="J6" s="1170"/>
      <c r="K6" s="1170"/>
      <c r="L6" s="1170"/>
      <c r="M6" s="1170"/>
      <c r="N6" s="1170"/>
      <c r="O6" s="1170"/>
      <c r="P6" s="1170"/>
      <c r="Q6" s="1171"/>
      <c r="R6" s="17"/>
      <c r="S6" s="1179" t="s">
        <v>205</v>
      </c>
      <c r="T6" s="1180"/>
      <c r="U6" s="1181"/>
      <c r="V6" s="16"/>
      <c r="W6" s="1212" t="s">
        <v>206</v>
      </c>
      <c r="X6" s="104"/>
      <c r="Y6" s="113"/>
      <c r="Z6" s="1191" t="s">
        <v>114</v>
      </c>
      <c r="AA6" s="1192"/>
      <c r="AB6" s="1193"/>
      <c r="AC6" s="1191" t="s">
        <v>386</v>
      </c>
      <c r="AD6" s="1192"/>
      <c r="AE6" s="1193"/>
      <c r="AF6" s="959"/>
      <c r="AG6" s="904"/>
      <c r="AH6" s="1202" t="s">
        <v>114</v>
      </c>
      <c r="AI6" s="1203"/>
      <c r="AJ6" s="1204"/>
      <c r="AK6" s="1202" t="s">
        <v>386</v>
      </c>
      <c r="AL6" s="1203"/>
      <c r="AM6" s="1204"/>
      <c r="AN6" s="1141"/>
      <c r="AP6" s="1190" t="s">
        <v>389</v>
      </c>
    </row>
    <row r="7" spans="1:42" ht="45" customHeight="1">
      <c r="A7" s="165"/>
      <c r="B7" s="1214" t="s">
        <v>115</v>
      </c>
      <c r="C7" s="1215"/>
      <c r="D7" s="1215"/>
      <c r="E7" s="1215"/>
      <c r="F7" s="1215"/>
      <c r="G7" s="1215"/>
      <c r="H7" s="1215"/>
      <c r="I7" s="1215"/>
      <c r="J7" s="1216"/>
      <c r="K7" s="1217" t="s">
        <v>116</v>
      </c>
      <c r="L7" s="1186"/>
      <c r="M7" s="1187"/>
      <c r="N7" s="1185" t="s">
        <v>2</v>
      </c>
      <c r="O7" s="1186"/>
      <c r="P7" s="1186"/>
      <c r="Q7" s="1187"/>
      <c r="R7" s="17"/>
      <c r="S7" s="1182"/>
      <c r="T7" s="1183"/>
      <c r="U7" s="1184"/>
      <c r="V7" s="15"/>
      <c r="W7" s="1213"/>
      <c r="X7" s="105"/>
      <c r="Y7" s="114"/>
      <c r="Z7" s="1194" t="s">
        <v>132</v>
      </c>
      <c r="AA7" s="1196" t="s">
        <v>133</v>
      </c>
      <c r="AB7" s="118" t="s">
        <v>2</v>
      </c>
      <c r="AC7" s="1194" t="s">
        <v>132</v>
      </c>
      <c r="AD7" s="1196" t="s">
        <v>133</v>
      </c>
      <c r="AE7" s="118" t="s">
        <v>2</v>
      </c>
      <c r="AF7" s="960"/>
      <c r="AG7" s="905"/>
      <c r="AH7" s="1205" t="s">
        <v>132</v>
      </c>
      <c r="AI7" s="1207" t="s">
        <v>133</v>
      </c>
      <c r="AJ7" s="963" t="s">
        <v>2</v>
      </c>
      <c r="AK7" s="1205" t="s">
        <v>132</v>
      </c>
      <c r="AL7" s="1207" t="s">
        <v>133</v>
      </c>
      <c r="AM7" s="963" t="s">
        <v>2</v>
      </c>
      <c r="AN7" s="1142"/>
      <c r="AP7" s="1190"/>
    </row>
    <row r="8" spans="1:42" ht="39.950000000000003" customHeight="1">
      <c r="A8" s="166"/>
      <c r="B8" s="1172" t="s">
        <v>117</v>
      </c>
      <c r="C8" s="1173"/>
      <c r="D8" s="1174"/>
      <c r="E8" s="1175" t="s">
        <v>1</v>
      </c>
      <c r="F8" s="1173"/>
      <c r="G8" s="1174"/>
      <c r="H8" s="1176" t="s">
        <v>2</v>
      </c>
      <c r="I8" s="1177"/>
      <c r="J8" s="1178"/>
      <c r="K8" s="1198" t="s">
        <v>117</v>
      </c>
      <c r="L8" s="106" t="s">
        <v>1</v>
      </c>
      <c r="M8" s="18" t="s">
        <v>2</v>
      </c>
      <c r="N8" s="1200" t="s">
        <v>94</v>
      </c>
      <c r="O8" s="979" t="s">
        <v>1</v>
      </c>
      <c r="P8" s="980" t="s">
        <v>2</v>
      </c>
      <c r="Q8" s="1188" t="s">
        <v>392</v>
      </c>
      <c r="R8" s="21"/>
      <c r="S8" s="1201" t="s">
        <v>94</v>
      </c>
      <c r="T8" s="19" t="s">
        <v>1</v>
      </c>
      <c r="U8" s="20" t="s">
        <v>2</v>
      </c>
      <c r="V8" s="15"/>
      <c r="W8" s="1213"/>
      <c r="X8" s="105"/>
      <c r="Y8" s="113"/>
      <c r="Z8" s="1195"/>
      <c r="AA8" s="1197"/>
      <c r="AB8" s="117"/>
      <c r="AC8" s="1195"/>
      <c r="AD8" s="1197"/>
      <c r="AE8" s="117"/>
      <c r="AF8" s="959"/>
      <c r="AG8" s="904"/>
      <c r="AH8" s="1206"/>
      <c r="AI8" s="1208"/>
      <c r="AJ8" s="964"/>
      <c r="AK8" s="1206"/>
      <c r="AL8" s="1208"/>
      <c r="AM8" s="964"/>
      <c r="AN8" s="1141"/>
      <c r="AP8" s="1190"/>
    </row>
    <row r="9" spans="1:42" ht="99.95" customHeight="1">
      <c r="A9" s="167" t="s">
        <v>251</v>
      </c>
      <c r="B9" s="22" t="s">
        <v>391</v>
      </c>
      <c r="C9" s="22" t="s">
        <v>118</v>
      </c>
      <c r="D9" s="23" t="s">
        <v>2</v>
      </c>
      <c r="E9" s="22" t="s">
        <v>391</v>
      </c>
      <c r="F9" s="22" t="s">
        <v>118</v>
      </c>
      <c r="G9" s="23" t="s">
        <v>2</v>
      </c>
      <c r="H9" s="22" t="s">
        <v>391</v>
      </c>
      <c r="I9" s="22" t="s">
        <v>118</v>
      </c>
      <c r="J9" s="24" t="s">
        <v>2</v>
      </c>
      <c r="K9" s="1199"/>
      <c r="L9" s="25"/>
      <c r="M9" s="26"/>
      <c r="N9" s="1200"/>
      <c r="O9" s="27"/>
      <c r="P9" s="981"/>
      <c r="Q9" s="1189"/>
      <c r="R9" s="15"/>
      <c r="S9" s="1200"/>
      <c r="T9" s="27"/>
      <c r="U9" s="28"/>
      <c r="V9" s="15"/>
      <c r="W9" s="1213"/>
      <c r="X9" s="105"/>
      <c r="Y9" s="961"/>
      <c r="Z9" s="1195"/>
      <c r="AA9" s="1197"/>
      <c r="AB9" s="117"/>
      <c r="AC9" s="1195"/>
      <c r="AD9" s="1197"/>
      <c r="AE9" s="117"/>
      <c r="AF9" s="962"/>
      <c r="AG9" s="906"/>
      <c r="AH9" s="1206"/>
      <c r="AI9" s="1208"/>
      <c r="AJ9" s="964"/>
      <c r="AK9" s="1206"/>
      <c r="AL9" s="1208"/>
      <c r="AM9" s="964"/>
      <c r="AN9" s="1143"/>
      <c r="AP9" s="1190"/>
    </row>
    <row r="10" spans="1:42" ht="30" customHeight="1">
      <c r="A10" s="169"/>
      <c r="B10" s="29" t="s">
        <v>32</v>
      </c>
      <c r="C10" s="30" t="s">
        <v>32</v>
      </c>
      <c r="D10" s="30" t="s">
        <v>32</v>
      </c>
      <c r="E10" s="30" t="s">
        <v>32</v>
      </c>
      <c r="F10" s="30" t="s">
        <v>32</v>
      </c>
      <c r="G10" s="30" t="s">
        <v>32</v>
      </c>
      <c r="H10" s="30" t="s">
        <v>32</v>
      </c>
      <c r="I10" s="30" t="s">
        <v>32</v>
      </c>
      <c r="J10" s="31" t="s">
        <v>32</v>
      </c>
      <c r="K10" s="29" t="s">
        <v>32</v>
      </c>
      <c r="L10" s="30" t="s">
        <v>32</v>
      </c>
      <c r="M10" s="31" t="s">
        <v>32</v>
      </c>
      <c r="N10" s="32" t="s">
        <v>32</v>
      </c>
      <c r="O10" s="32" t="s">
        <v>32</v>
      </c>
      <c r="P10" s="30" t="s">
        <v>32</v>
      </c>
      <c r="Q10" s="31" t="s">
        <v>32</v>
      </c>
      <c r="R10" s="40"/>
      <c r="S10" s="420" t="s">
        <v>32</v>
      </c>
      <c r="T10" s="32" t="s">
        <v>32</v>
      </c>
      <c r="U10" s="33" t="s">
        <v>32</v>
      </c>
      <c r="V10" s="15"/>
      <c r="W10" s="34" t="s">
        <v>32</v>
      </c>
      <c r="X10" s="105"/>
      <c r="Y10" s="961"/>
      <c r="Z10" s="119" t="s">
        <v>32</v>
      </c>
      <c r="AA10" s="885" t="s">
        <v>32</v>
      </c>
      <c r="AB10" s="120" t="s">
        <v>32</v>
      </c>
      <c r="AC10" s="119"/>
      <c r="AD10" s="885"/>
      <c r="AE10" s="120"/>
      <c r="AF10" s="962"/>
      <c r="AG10" s="906"/>
      <c r="AH10" s="907" t="s">
        <v>32</v>
      </c>
      <c r="AI10" s="908" t="s">
        <v>32</v>
      </c>
      <c r="AJ10" s="909" t="s">
        <v>32</v>
      </c>
      <c r="AK10" s="907"/>
      <c r="AL10" s="908"/>
      <c r="AM10" s="909"/>
      <c r="AN10" s="1143"/>
    </row>
    <row r="11" spans="1:42" ht="39.950000000000003" customHeight="1">
      <c r="A11" s="169"/>
      <c r="B11" s="154" t="s">
        <v>48</v>
      </c>
      <c r="C11" s="155" t="s">
        <v>48</v>
      </c>
      <c r="D11" s="156" t="s">
        <v>135</v>
      </c>
      <c r="E11" s="155" t="s">
        <v>48</v>
      </c>
      <c r="F11" s="155" t="s">
        <v>48</v>
      </c>
      <c r="G11" s="155" t="s">
        <v>135</v>
      </c>
      <c r="H11" s="156" t="s">
        <v>82</v>
      </c>
      <c r="I11" s="156" t="s">
        <v>82</v>
      </c>
      <c r="J11" s="156" t="s">
        <v>82</v>
      </c>
      <c r="K11" s="159" t="s">
        <v>48</v>
      </c>
      <c r="L11" s="155" t="s">
        <v>48</v>
      </c>
      <c r="M11" s="157" t="s">
        <v>135</v>
      </c>
      <c r="N11" s="158" t="s">
        <v>82</v>
      </c>
      <c r="O11" s="156" t="s">
        <v>82</v>
      </c>
      <c r="P11" s="156" t="s">
        <v>82</v>
      </c>
      <c r="Q11" s="157" t="s">
        <v>48</v>
      </c>
      <c r="R11" s="40"/>
      <c r="S11" s="159" t="s">
        <v>48</v>
      </c>
      <c r="T11" s="155" t="s">
        <v>48</v>
      </c>
      <c r="U11" s="157" t="s">
        <v>82</v>
      </c>
      <c r="V11" s="15"/>
      <c r="W11" s="160" t="s">
        <v>82</v>
      </c>
      <c r="X11" s="105"/>
      <c r="Y11" s="961"/>
      <c r="Z11" s="161" t="s">
        <v>83</v>
      </c>
      <c r="AA11" s="162" t="s">
        <v>83</v>
      </c>
      <c r="AB11" s="163" t="s">
        <v>83</v>
      </c>
      <c r="AC11" s="161" t="s">
        <v>83</v>
      </c>
      <c r="AD11" s="162" t="s">
        <v>83</v>
      </c>
      <c r="AE11" s="163" t="s">
        <v>83</v>
      </c>
      <c r="AF11" s="962"/>
      <c r="AG11" s="906"/>
      <c r="AH11" s="965" t="s">
        <v>83</v>
      </c>
      <c r="AI11" s="966" t="s">
        <v>83</v>
      </c>
      <c r="AJ11" s="967" t="s">
        <v>83</v>
      </c>
      <c r="AK11" s="965" t="s">
        <v>83</v>
      </c>
      <c r="AL11" s="966" t="s">
        <v>83</v>
      </c>
      <c r="AM11" s="967" t="s">
        <v>83</v>
      </c>
      <c r="AN11" s="1143"/>
    </row>
    <row r="12" spans="1:42" ht="30" customHeight="1" thickBot="1">
      <c r="A12" s="169"/>
      <c r="B12" s="35" t="s">
        <v>4</v>
      </c>
      <c r="C12" s="36" t="s">
        <v>5</v>
      </c>
      <c r="D12" s="36" t="s">
        <v>6</v>
      </c>
      <c r="E12" s="36" t="s">
        <v>7</v>
      </c>
      <c r="F12" s="36" t="s">
        <v>8</v>
      </c>
      <c r="G12" s="36" t="s">
        <v>9</v>
      </c>
      <c r="H12" s="36" t="s">
        <v>61</v>
      </c>
      <c r="I12" s="36" t="s">
        <v>62</v>
      </c>
      <c r="J12" s="37" t="s">
        <v>63</v>
      </c>
      <c r="K12" s="38" t="s">
        <v>10</v>
      </c>
      <c r="L12" s="36" t="s">
        <v>11</v>
      </c>
      <c r="M12" s="39" t="s">
        <v>12</v>
      </c>
      <c r="N12" s="36" t="s">
        <v>13</v>
      </c>
      <c r="O12" s="36" t="s">
        <v>14</v>
      </c>
      <c r="P12" s="37" t="s">
        <v>15</v>
      </c>
      <c r="Q12" s="39" t="s">
        <v>16</v>
      </c>
      <c r="R12" s="40"/>
      <c r="S12" s="38" t="s">
        <v>17</v>
      </c>
      <c r="T12" s="36" t="s">
        <v>90</v>
      </c>
      <c r="U12" s="39" t="s">
        <v>91</v>
      </c>
      <c r="V12" s="15"/>
      <c r="W12" s="41" t="s">
        <v>119</v>
      </c>
      <c r="X12" s="105"/>
      <c r="Y12" s="961"/>
      <c r="Z12" s="968" t="s">
        <v>120</v>
      </c>
      <c r="AA12" s="418" t="s">
        <v>121</v>
      </c>
      <c r="AB12" s="969" t="s">
        <v>165</v>
      </c>
      <c r="AC12" s="417" t="s">
        <v>166</v>
      </c>
      <c r="AD12" s="418" t="s">
        <v>167</v>
      </c>
      <c r="AE12" s="419" t="s">
        <v>168</v>
      </c>
      <c r="AF12" s="962"/>
      <c r="AG12" s="906"/>
      <c r="AH12" s="910" t="s">
        <v>169</v>
      </c>
      <c r="AI12" s="911" t="s">
        <v>170</v>
      </c>
      <c r="AJ12" s="912" t="s">
        <v>171</v>
      </c>
      <c r="AK12" s="910" t="s">
        <v>173</v>
      </c>
      <c r="AL12" s="911" t="s">
        <v>172</v>
      </c>
      <c r="AM12" s="912" t="s">
        <v>187</v>
      </c>
      <c r="AN12" s="1143"/>
    </row>
    <row r="13" spans="1:42" ht="35.1" customHeight="1" thickBot="1">
      <c r="A13" s="170" t="s">
        <v>26</v>
      </c>
      <c r="B13" s="42"/>
      <c r="C13" s="43"/>
      <c r="D13" s="90">
        <v>1157.75</v>
      </c>
      <c r="E13" s="43"/>
      <c r="F13" s="43"/>
      <c r="G13" s="90">
        <v>56.8</v>
      </c>
      <c r="H13" s="44"/>
      <c r="I13" s="44"/>
      <c r="J13" s="89">
        <f>SUM(D13,G13)</f>
        <v>1214.55</v>
      </c>
      <c r="K13" s="647">
        <v>153.41</v>
      </c>
      <c r="L13" s="648">
        <v>10.1</v>
      </c>
      <c r="M13" s="650">
        <f>SUM(K13:L13)</f>
        <v>163.51</v>
      </c>
      <c r="N13" s="649">
        <f>D13+K13</f>
        <v>1311.16</v>
      </c>
      <c r="O13" s="100">
        <f>SUM(G13,L13)</f>
        <v>66.899999999999991</v>
      </c>
      <c r="P13" s="982">
        <f>SUM(N13:O13)</f>
        <v>1378.0600000000002</v>
      </c>
      <c r="Q13" s="144"/>
      <c r="R13" s="15"/>
      <c r="S13" s="45"/>
      <c r="T13" s="46"/>
      <c r="U13" s="47"/>
      <c r="V13" s="15"/>
      <c r="W13" s="49"/>
      <c r="X13" s="105"/>
      <c r="Y13" s="961"/>
      <c r="Z13" s="451">
        <f>VLOOKUP($AP13,Early_Stats_1213,VLOOKUP(Background!$C$2,Inst_Tables,14,FALSE),FALSE)</f>
        <v>1015.98</v>
      </c>
      <c r="AA13" s="133">
        <f>VLOOKUP($AP13,Early_Stats_1213,VLOOKUP(Background!$C$2,Inst_Tables,15,FALSE),FALSE)</f>
        <v>167.17000000000002</v>
      </c>
      <c r="AB13" s="129">
        <f>SUM(Z13:AA13)</f>
        <v>1183.1500000000001</v>
      </c>
      <c r="AC13" s="886">
        <f>IF(Z13&gt;0,(J13-Z13)/Z13,"")</f>
        <v>0.19544676076300707</v>
      </c>
      <c r="AD13" s="893">
        <f>IF(AA13&gt;0,(M13-AA13)/AA13,"")</f>
        <v>-2.1893880480947685E-2</v>
      </c>
      <c r="AE13" s="887">
        <f>IF(AB13&gt;0,(P13-AB13)/AB13,"")</f>
        <v>0.16473819887588223</v>
      </c>
      <c r="AF13" s="962"/>
      <c r="AG13" s="906"/>
      <c r="AH13" s="913">
        <f>VLOOKUP($AP13,Final_Figures_1213,VLOOKUP(Background!$C$2,Inst_Tables,14,FALSE),FALSE)</f>
        <v>1072.8</v>
      </c>
      <c r="AI13" s="914">
        <f>VLOOKUP($AP13,Final_Figures_1213,VLOOKUP(Background!$C$2,Inst_Tables,15,FALSE),FALSE)</f>
        <v>177.28800000000001</v>
      </c>
      <c r="AJ13" s="915">
        <f>SUM(AH13:AI13)</f>
        <v>1250.088</v>
      </c>
      <c r="AK13" s="916">
        <f>IF(AH13&gt;0,(J13-AH13)/AH13,"")</f>
        <v>0.13213087248322147</v>
      </c>
      <c r="AL13" s="917">
        <f>IF(AI13&gt;0,(M13-AI13)/AI13,"")</f>
        <v>-7.7715355805243552E-2</v>
      </c>
      <c r="AM13" s="918">
        <f>IF(AJ13&gt;0,(P13-AJ13)/AJ13,"")</f>
        <v>0.10237039312432422</v>
      </c>
      <c r="AN13" s="1143"/>
      <c r="AP13" s="992">
        <v>1</v>
      </c>
    </row>
    <row r="14" spans="1:42" ht="35.1" customHeight="1">
      <c r="A14" s="171" t="s">
        <v>23</v>
      </c>
      <c r="B14" s="50"/>
      <c r="C14" s="51"/>
      <c r="D14" s="52"/>
      <c r="E14" s="51"/>
      <c r="F14" s="51"/>
      <c r="G14" s="46"/>
      <c r="H14" s="46"/>
      <c r="I14" s="46"/>
      <c r="J14" s="53"/>
      <c r="K14" s="50"/>
      <c r="L14" s="51"/>
      <c r="M14" s="53"/>
      <c r="N14" s="46"/>
      <c r="O14" s="46"/>
      <c r="P14" s="983"/>
      <c r="Q14" s="28"/>
      <c r="R14" s="15"/>
      <c r="S14" s="45"/>
      <c r="T14" s="46"/>
      <c r="U14" s="47"/>
      <c r="V14" s="15"/>
      <c r="W14" s="54"/>
      <c r="X14" s="105"/>
      <c r="Y14" s="961"/>
      <c r="Z14" s="130"/>
      <c r="AA14" s="121"/>
      <c r="AB14" s="122"/>
      <c r="AC14" s="896"/>
      <c r="AD14" s="121"/>
      <c r="AE14" s="897"/>
      <c r="AF14" s="962"/>
      <c r="AG14" s="906"/>
      <c r="AH14" s="919"/>
      <c r="AI14" s="920"/>
      <c r="AJ14" s="921"/>
      <c r="AK14" s="922"/>
      <c r="AL14" s="920"/>
      <c r="AM14" s="923"/>
      <c r="AN14" s="1143"/>
      <c r="AP14" s="993"/>
    </row>
    <row r="15" spans="1:42" ht="30" customHeight="1">
      <c r="A15" s="172" t="s">
        <v>122</v>
      </c>
      <c r="B15" s="55"/>
      <c r="C15" s="56"/>
      <c r="D15" s="57"/>
      <c r="E15" s="56"/>
      <c r="F15" s="56"/>
      <c r="G15" s="58"/>
      <c r="H15" s="58"/>
      <c r="I15" s="58"/>
      <c r="J15" s="59"/>
      <c r="K15" s="55"/>
      <c r="L15" s="56"/>
      <c r="M15" s="59"/>
      <c r="N15" s="58"/>
      <c r="O15" s="58"/>
      <c r="P15" s="984"/>
      <c r="Q15" s="28"/>
      <c r="R15" s="15"/>
      <c r="S15" s="60"/>
      <c r="T15" s="27"/>
      <c r="U15" s="48"/>
      <c r="V15" s="15"/>
      <c r="W15" s="49"/>
      <c r="X15" s="105"/>
      <c r="Y15" s="961"/>
      <c r="Z15" s="131"/>
      <c r="AA15" s="125"/>
      <c r="AB15" s="123"/>
      <c r="AC15" s="888"/>
      <c r="AD15" s="125"/>
      <c r="AE15" s="116"/>
      <c r="AF15" s="962"/>
      <c r="AG15" s="906"/>
      <c r="AH15" s="924"/>
      <c r="AI15" s="925"/>
      <c r="AJ15" s="926"/>
      <c r="AK15" s="927"/>
      <c r="AL15" s="925"/>
      <c r="AM15" s="928"/>
      <c r="AN15" s="1143"/>
      <c r="AP15" s="993"/>
    </row>
    <row r="16" spans="1:42" ht="30" customHeight="1">
      <c r="A16" s="173" t="s">
        <v>123</v>
      </c>
      <c r="B16" s="91"/>
      <c r="C16" s="92"/>
      <c r="D16" s="84">
        <f>SUM(B16:C16)</f>
        <v>0</v>
      </c>
      <c r="E16" s="92"/>
      <c r="F16" s="93"/>
      <c r="G16" s="83">
        <f>SUM(E16:F16)</f>
        <v>0</v>
      </c>
      <c r="H16" s="100">
        <f>SUM(B16,E16)</f>
        <v>0</v>
      </c>
      <c r="I16" s="100">
        <f>SUM(C16,F16)</f>
        <v>0</v>
      </c>
      <c r="J16" s="88">
        <f>SUM(H16:I16)</f>
        <v>0</v>
      </c>
      <c r="K16" s="91"/>
      <c r="L16" s="92"/>
      <c r="M16" s="98">
        <f>SUM(K16:L16)</f>
        <v>0</v>
      </c>
      <c r="N16" s="99">
        <f>SUM(D16,K16)</f>
        <v>0</v>
      </c>
      <c r="O16" s="100">
        <f>SUM(G16,L16)</f>
        <v>0</v>
      </c>
      <c r="P16" s="982">
        <f>SUM(N16:O16)</f>
        <v>0</v>
      </c>
      <c r="Q16" s="101"/>
      <c r="R16" s="15"/>
      <c r="S16" s="66"/>
      <c r="T16" s="67"/>
      <c r="U16" s="48"/>
      <c r="V16" s="15"/>
      <c r="W16" s="49"/>
      <c r="X16" s="105"/>
      <c r="Y16" s="961"/>
      <c r="Z16" s="153">
        <f>VLOOKUP($AP16,Early_Stats_1213,VLOOKUP(Background!$C$2,Inst_Tables,14,FALSE),FALSE)</f>
        <v>0</v>
      </c>
      <c r="AA16" s="134">
        <f>VLOOKUP($AP16,Early_Stats_1213,VLOOKUP(Background!$C$2,Inst_Tables,15,FALSE),FALSE)</f>
        <v>0</v>
      </c>
      <c r="AB16" s="124">
        <f>SUM(Z16:AA16)</f>
        <v>0</v>
      </c>
      <c r="AC16" s="898" t="str">
        <f>IF(Z16&gt;0,(J16-Z16)/Z16,"")</f>
        <v/>
      </c>
      <c r="AD16" s="899" t="str">
        <f>IF(AA16&gt;0,(M16-AA16)/AA16,"")</f>
        <v/>
      </c>
      <c r="AE16" s="900" t="str">
        <f>IF(AB16&gt;0,(P16-AB16)/AB16,"")</f>
        <v/>
      </c>
      <c r="AF16" s="962"/>
      <c r="AG16" s="906"/>
      <c r="AH16" s="929">
        <f>VLOOKUP($AP16,Final_Figures_1213,VLOOKUP(Background!$C$2,Inst_Tables,14,FALSE),FALSE)</f>
        <v>0</v>
      </c>
      <c r="AI16" s="930">
        <f>VLOOKUP($AP16,Final_Figures_1213,VLOOKUP(Background!$C$2,Inst_Tables,15,FALSE),FALSE)</f>
        <v>0</v>
      </c>
      <c r="AJ16" s="931">
        <f>SUM(AH16:AI16)</f>
        <v>0</v>
      </c>
      <c r="AK16" s="932" t="str">
        <f>IF(AH16&gt;0,(J16-AH16)/AH16,"")</f>
        <v/>
      </c>
      <c r="AL16" s="933" t="str">
        <f>IF(AI16&gt;0,(M16-AI16)/AI16,"")</f>
        <v/>
      </c>
      <c r="AM16" s="934" t="str">
        <f>IF(AJ16&gt;0,(P16-AJ16)/AJ16,"")</f>
        <v/>
      </c>
      <c r="AN16" s="1143"/>
      <c r="AP16" s="992">
        <v>2</v>
      </c>
    </row>
    <row r="17" spans="1:42" ht="30" customHeight="1">
      <c r="A17" s="172" t="s">
        <v>124</v>
      </c>
      <c r="B17" s="91">
        <v>78</v>
      </c>
      <c r="C17" s="92">
        <v>767.6</v>
      </c>
      <c r="D17" s="84">
        <f>SUM(B17:C17)</f>
        <v>845.6</v>
      </c>
      <c r="E17" s="92"/>
      <c r="F17" s="93">
        <v>4.875</v>
      </c>
      <c r="G17" s="83">
        <f>SUM(E17:F17)</f>
        <v>4.875</v>
      </c>
      <c r="H17" s="100">
        <f>SUM(B17,E17)</f>
        <v>78</v>
      </c>
      <c r="I17" s="100">
        <f>SUM(C17,F17)</f>
        <v>772.47500000000002</v>
      </c>
      <c r="J17" s="88">
        <f>SUM(H17:I17)</f>
        <v>850.47500000000002</v>
      </c>
      <c r="K17" s="91">
        <v>220.75</v>
      </c>
      <c r="L17" s="92"/>
      <c r="M17" s="98">
        <f>SUM(K17:L17)</f>
        <v>220.75</v>
      </c>
      <c r="N17" s="99">
        <f>SUM(D17,K17)</f>
        <v>1066.3499999999999</v>
      </c>
      <c r="O17" s="100">
        <f>SUM(G17,L17)</f>
        <v>4.875</v>
      </c>
      <c r="P17" s="982">
        <f>SUM(N17:O17)</f>
        <v>1071.2249999999999</v>
      </c>
      <c r="Q17" s="986">
        <v>18</v>
      </c>
      <c r="R17" s="15"/>
      <c r="S17" s="60"/>
      <c r="T17" s="27"/>
      <c r="U17" s="48"/>
      <c r="V17" s="15"/>
      <c r="W17" s="49"/>
      <c r="X17" s="105"/>
      <c r="Y17" s="961"/>
      <c r="Z17" s="500">
        <f>VLOOKUP($AP17,Early_Stats_1213,VLOOKUP(Background!$C$2,Inst_Tables,14,FALSE),FALSE)</f>
        <v>823.81999999999994</v>
      </c>
      <c r="AA17" s="501">
        <f>VLOOKUP($AP17,Early_Stats_1213,VLOOKUP(Background!$C$2,Inst_Tables,15,FALSE),FALSE)</f>
        <v>243.39999999999998</v>
      </c>
      <c r="AB17" s="124">
        <f>SUM(Z17:AA17)</f>
        <v>1067.2199999999998</v>
      </c>
      <c r="AC17" s="898">
        <f>IF(Z17&gt;0,(J17-Z17)/Z17,"")</f>
        <v>3.235536889126276E-2</v>
      </c>
      <c r="AD17" s="899">
        <f>IF(AA17&gt;0,(M17-AA17)/AA17,"")</f>
        <v>-9.3056696795398436E-2</v>
      </c>
      <c r="AE17" s="900">
        <f>IF(AB17&gt;0,(P17-AB17)/AB17,"")</f>
        <v>3.7527407657278818E-3</v>
      </c>
      <c r="AF17" s="962"/>
      <c r="AG17" s="906"/>
      <c r="AH17" s="935">
        <f>VLOOKUP($AP17,Final_Figures_1213,VLOOKUP(Background!$C$2,Inst_Tables,14,FALSE),FALSE)</f>
        <v>729</v>
      </c>
      <c r="AI17" s="936">
        <f>VLOOKUP($AP17,Final_Figures_1213,VLOOKUP(Background!$C$2,Inst_Tables,15,FALSE),FALSE)</f>
        <v>226.11</v>
      </c>
      <c r="AJ17" s="931">
        <f>SUM(AH17:AI17)</f>
        <v>955.11</v>
      </c>
      <c r="AK17" s="932">
        <f>IF(AH17&gt;0,(J17-AH17)/AH17,"")</f>
        <v>0.16663237311385462</v>
      </c>
      <c r="AL17" s="933">
        <f>IF(AI17&gt;0,(M17-AI17)/AI17,"")</f>
        <v>-2.3705276193003465E-2</v>
      </c>
      <c r="AM17" s="934">
        <f>IF(AJ17&gt;0,(P17-AJ17)/AJ17,"")</f>
        <v>0.12157238433269456</v>
      </c>
      <c r="AN17" s="1143"/>
      <c r="AP17" s="992">
        <v>3</v>
      </c>
    </row>
    <row r="18" spans="1:42" ht="35.1" customHeight="1" thickBot="1">
      <c r="A18" s="174" t="s">
        <v>2</v>
      </c>
      <c r="B18" s="135">
        <f t="shared" ref="B18:P18" si="0">SUM(B16:B17)</f>
        <v>78</v>
      </c>
      <c r="C18" s="136">
        <f t="shared" si="0"/>
        <v>767.6</v>
      </c>
      <c r="D18" s="137">
        <f t="shared" si="0"/>
        <v>845.6</v>
      </c>
      <c r="E18" s="136">
        <f t="shared" si="0"/>
        <v>0</v>
      </c>
      <c r="F18" s="136">
        <f t="shared" si="0"/>
        <v>4.875</v>
      </c>
      <c r="G18" s="137">
        <f t="shared" si="0"/>
        <v>4.875</v>
      </c>
      <c r="H18" s="136">
        <f t="shared" si="0"/>
        <v>78</v>
      </c>
      <c r="I18" s="136">
        <f t="shared" si="0"/>
        <v>772.47500000000002</v>
      </c>
      <c r="J18" s="138">
        <f t="shared" si="0"/>
        <v>850.47500000000002</v>
      </c>
      <c r="K18" s="136">
        <f t="shared" si="0"/>
        <v>220.75</v>
      </c>
      <c r="L18" s="136">
        <f t="shared" si="0"/>
        <v>0</v>
      </c>
      <c r="M18" s="138">
        <f t="shared" si="0"/>
        <v>220.75</v>
      </c>
      <c r="N18" s="136">
        <f t="shared" si="0"/>
        <v>1066.3499999999999</v>
      </c>
      <c r="O18" s="136">
        <f t="shared" si="0"/>
        <v>4.875</v>
      </c>
      <c r="P18" s="141">
        <f t="shared" si="0"/>
        <v>1071.2249999999999</v>
      </c>
      <c r="Q18" s="970"/>
      <c r="R18" s="15"/>
      <c r="S18" s="69"/>
      <c r="T18" s="70"/>
      <c r="U18" s="71"/>
      <c r="V18" s="15"/>
      <c r="W18" s="72"/>
      <c r="X18" s="105"/>
      <c r="Y18" s="961"/>
      <c r="Z18" s="148">
        <f>SUM(Z16:Z17)</f>
        <v>823.81999999999994</v>
      </c>
      <c r="AA18" s="149">
        <f>SUM(AA16:AA17)</f>
        <v>243.39999999999998</v>
      </c>
      <c r="AB18" s="150">
        <f>SUM(AB16:AB17)</f>
        <v>1067.2199999999998</v>
      </c>
      <c r="AC18" s="891">
        <f t="shared" ref="AC18" si="1">IF(Z18&gt;0,(J18-Z18)/Z18,"")</f>
        <v>3.235536889126276E-2</v>
      </c>
      <c r="AD18" s="895">
        <f t="shared" ref="AD18" si="2">IF(AA18&gt;0,(M18-AA18)/AA18,"")</f>
        <v>-9.3056696795398436E-2</v>
      </c>
      <c r="AE18" s="892">
        <f t="shared" ref="AE18" si="3">IF(AB18&gt;0,(P18-AB18)/AB18,"")</f>
        <v>3.7527407657278818E-3</v>
      </c>
      <c r="AF18" s="962"/>
      <c r="AG18" s="906"/>
      <c r="AH18" s="937">
        <f>SUM(AH16:AH17)</f>
        <v>729</v>
      </c>
      <c r="AI18" s="938">
        <f>SUM(AI16:AI17)</f>
        <v>226.11</v>
      </c>
      <c r="AJ18" s="939">
        <f>SUM(AJ16:AJ17)</f>
        <v>955.11</v>
      </c>
      <c r="AK18" s="940">
        <f>IF(AH18&gt;0,(J18-AH18)/AH18,"")</f>
        <v>0.16663237311385462</v>
      </c>
      <c r="AL18" s="941">
        <f>IF(AI18&gt;0,(M18-AI18)/AI18,"")</f>
        <v>-2.3705276193003465E-2</v>
      </c>
      <c r="AM18" s="942">
        <f>IF(AJ18&gt;0,(P18-AJ18)/AJ18,"")</f>
        <v>0.12157238433269456</v>
      </c>
      <c r="AN18" s="1143"/>
      <c r="AP18" s="993"/>
    </row>
    <row r="19" spans="1:42" ht="35.1" customHeight="1">
      <c r="A19" s="171" t="s">
        <v>24</v>
      </c>
      <c r="B19" s="50"/>
      <c r="C19" s="51"/>
      <c r="D19" s="52"/>
      <c r="E19" s="51"/>
      <c r="F19" s="51"/>
      <c r="G19" s="46"/>
      <c r="H19" s="46"/>
      <c r="I19" s="46"/>
      <c r="J19" s="53"/>
      <c r="K19" s="50"/>
      <c r="L19" s="51"/>
      <c r="M19" s="53"/>
      <c r="N19" s="27"/>
      <c r="O19" s="27"/>
      <c r="P19" s="981"/>
      <c r="Q19" s="28"/>
      <c r="R19" s="15"/>
      <c r="S19" s="60"/>
      <c r="T19" s="27"/>
      <c r="U19" s="48"/>
      <c r="V19" s="15"/>
      <c r="W19" s="49"/>
      <c r="X19" s="105"/>
      <c r="Y19" s="961"/>
      <c r="Z19" s="131"/>
      <c r="AA19" s="125"/>
      <c r="AB19" s="126"/>
      <c r="AC19" s="888"/>
      <c r="AD19" s="125"/>
      <c r="AE19" s="116"/>
      <c r="AF19" s="962"/>
      <c r="AG19" s="906"/>
      <c r="AH19" s="924"/>
      <c r="AI19" s="925"/>
      <c r="AJ19" s="943"/>
      <c r="AK19" s="927"/>
      <c r="AL19" s="925"/>
      <c r="AM19" s="928"/>
      <c r="AN19" s="1143"/>
      <c r="AP19" s="993"/>
    </row>
    <row r="20" spans="1:42" ht="30" customHeight="1">
      <c r="A20" s="172" t="s">
        <v>122</v>
      </c>
      <c r="B20" s="55"/>
      <c r="C20" s="56"/>
      <c r="D20" s="57"/>
      <c r="E20" s="56"/>
      <c r="F20" s="56"/>
      <c r="G20" s="58"/>
      <c r="H20" s="58"/>
      <c r="I20" s="58"/>
      <c r="J20" s="59"/>
      <c r="K20" s="55"/>
      <c r="L20" s="56"/>
      <c r="M20" s="59"/>
      <c r="N20" s="58"/>
      <c r="O20" s="58"/>
      <c r="P20" s="984"/>
      <c r="Q20" s="28"/>
      <c r="R20" s="15"/>
      <c r="S20" s="60"/>
      <c r="T20" s="27"/>
      <c r="U20" s="48"/>
      <c r="V20" s="15"/>
      <c r="W20" s="49"/>
      <c r="X20" s="105"/>
      <c r="Y20" s="961"/>
      <c r="Z20" s="131"/>
      <c r="AA20" s="125"/>
      <c r="AB20" s="123"/>
      <c r="AC20" s="888"/>
      <c r="AD20" s="125"/>
      <c r="AE20" s="116"/>
      <c r="AF20" s="962"/>
      <c r="AG20" s="906"/>
      <c r="AH20" s="924"/>
      <c r="AI20" s="925"/>
      <c r="AJ20" s="926"/>
      <c r="AK20" s="927"/>
      <c r="AL20" s="925"/>
      <c r="AM20" s="928"/>
      <c r="AN20" s="1143"/>
      <c r="AP20" s="993"/>
    </row>
    <row r="21" spans="1:42" ht="30" customHeight="1">
      <c r="A21" s="173" t="s">
        <v>125</v>
      </c>
      <c r="B21" s="91">
        <v>1</v>
      </c>
      <c r="C21" s="93">
        <v>166</v>
      </c>
      <c r="D21" s="84">
        <f>SUM(B21:C21)</f>
        <v>167</v>
      </c>
      <c r="E21" s="92"/>
      <c r="F21" s="92"/>
      <c r="G21" s="83">
        <f>SUM(E21:F21)</f>
        <v>0</v>
      </c>
      <c r="H21" s="100">
        <f t="shared" ref="H21:I23" si="4">SUM(B21,E21)</f>
        <v>1</v>
      </c>
      <c r="I21" s="100">
        <f t="shared" si="4"/>
        <v>166</v>
      </c>
      <c r="J21" s="87">
        <f>SUM(H21:I21)</f>
        <v>167</v>
      </c>
      <c r="K21" s="91"/>
      <c r="L21" s="92"/>
      <c r="M21" s="86">
        <f>SUM(K21:L21)</f>
        <v>0</v>
      </c>
      <c r="N21" s="99">
        <f>SUM(D21,K21)</f>
        <v>167</v>
      </c>
      <c r="O21" s="100">
        <f>SUM(G21,L21)</f>
        <v>0</v>
      </c>
      <c r="P21" s="982">
        <f>SUM(N21:O21)</f>
        <v>167</v>
      </c>
      <c r="Q21" s="101"/>
      <c r="R21" s="15"/>
      <c r="S21" s="97">
        <v>8</v>
      </c>
      <c r="T21" s="92"/>
      <c r="U21" s="102">
        <f>SUM(S21:T21)</f>
        <v>8</v>
      </c>
      <c r="V21" s="15"/>
      <c r="W21" s="103">
        <f>SUM(P21,U21)</f>
        <v>175</v>
      </c>
      <c r="X21" s="105"/>
      <c r="Y21" s="961"/>
      <c r="Z21" s="153">
        <f>VLOOKUP($AP21,Early_Stats_1213,VLOOKUP(Background!$C$2,Inst_Tables,14,FALSE),FALSE)</f>
        <v>105</v>
      </c>
      <c r="AA21" s="134">
        <f>VLOOKUP($AP21,Early_Stats_1213,VLOOKUP(Background!$C$2,Inst_Tables,15,FALSE),FALSE)</f>
        <v>0</v>
      </c>
      <c r="AB21" s="124">
        <f>SUM(Z21:AA21)</f>
        <v>105</v>
      </c>
      <c r="AC21" s="898">
        <f>IF(Z21&gt;0,(J21-Z21)/Z21,"")</f>
        <v>0.59047619047619049</v>
      </c>
      <c r="AD21" s="899" t="str">
        <f>IF(AA21&gt;0,(M21-AA21)/AA21,"")</f>
        <v/>
      </c>
      <c r="AE21" s="900">
        <f>IF(AB21&gt;0,(P21-AB21)/AB21,"")</f>
        <v>0.59047619047619049</v>
      </c>
      <c r="AF21" s="962"/>
      <c r="AG21" s="906"/>
      <c r="AH21" s="929">
        <f>VLOOKUP($AP21,Final_Figures_1213,VLOOKUP(Background!$C$2,Inst_Tables,14,FALSE),FALSE)</f>
        <v>105</v>
      </c>
      <c r="AI21" s="930">
        <f>VLOOKUP($AP21,Final_Figures_1213,VLOOKUP(Background!$C$2,Inst_Tables,15,FALSE),FALSE)</f>
        <v>0</v>
      </c>
      <c r="AJ21" s="931">
        <f>SUM(AH21:AI21)</f>
        <v>105</v>
      </c>
      <c r="AK21" s="932">
        <f>IF(AH21&gt;0,(J21-AH21)/AH21,"")</f>
        <v>0.59047619047619049</v>
      </c>
      <c r="AL21" s="933" t="str">
        <f>IF(AI21&gt;0,(M21-AI21)/AI21,"")</f>
        <v/>
      </c>
      <c r="AM21" s="934">
        <f>IF(AJ21&gt;0,(P21-AJ21)/AJ21,"")</f>
        <v>0.59047619047619049</v>
      </c>
      <c r="AN21" s="1143"/>
      <c r="AP21" s="992">
        <v>4</v>
      </c>
    </row>
    <row r="22" spans="1:42" ht="30" customHeight="1">
      <c r="A22" s="173" t="s">
        <v>126</v>
      </c>
      <c r="B22" s="91">
        <v>2</v>
      </c>
      <c r="C22" s="93">
        <v>143</v>
      </c>
      <c r="D22" s="84">
        <f>SUM(B22:C22)</f>
        <v>145</v>
      </c>
      <c r="E22" s="92"/>
      <c r="F22" s="92"/>
      <c r="G22" s="83">
        <f>SUM(E22:F22)</f>
        <v>0</v>
      </c>
      <c r="H22" s="100">
        <f t="shared" si="4"/>
        <v>2</v>
      </c>
      <c r="I22" s="100">
        <f t="shared" si="4"/>
        <v>143</v>
      </c>
      <c r="J22" s="87">
        <f>SUM(H22:I22)</f>
        <v>145</v>
      </c>
      <c r="K22" s="91">
        <v>3</v>
      </c>
      <c r="L22" s="92"/>
      <c r="M22" s="86">
        <f>SUM(K22:L22)</f>
        <v>3</v>
      </c>
      <c r="N22" s="99">
        <f>SUM(D22,K22)</f>
        <v>148</v>
      </c>
      <c r="O22" s="100">
        <f>SUM(G22,L22)</f>
        <v>0</v>
      </c>
      <c r="P22" s="982">
        <f>SUM(N22:O22)</f>
        <v>148</v>
      </c>
      <c r="Q22" s="101"/>
      <c r="R22" s="15"/>
      <c r="S22" s="97">
        <v>4</v>
      </c>
      <c r="T22" s="92"/>
      <c r="U22" s="102">
        <f>SUM(S22:T22)</f>
        <v>4</v>
      </c>
      <c r="V22" s="15"/>
      <c r="W22" s="103">
        <f>SUM(P22,U22)</f>
        <v>152</v>
      </c>
      <c r="X22" s="105"/>
      <c r="Y22" s="961"/>
      <c r="Z22" s="153">
        <f>VLOOKUP($AP22,Early_Stats_1213,VLOOKUP(Background!$C$2,Inst_Tables,14,FALSE),FALSE)</f>
        <v>138</v>
      </c>
      <c r="AA22" s="134">
        <f>VLOOKUP($AP22,Early_Stats_1213,VLOOKUP(Background!$C$2,Inst_Tables,15,FALSE),FALSE)</f>
        <v>1.5</v>
      </c>
      <c r="AB22" s="124">
        <f>SUM(Z22:AA22)</f>
        <v>139.5</v>
      </c>
      <c r="AC22" s="898">
        <f>IF(Z22&gt;0,(J22-Z22)/Z22,"")</f>
        <v>5.0724637681159424E-2</v>
      </c>
      <c r="AD22" s="899">
        <f>IF(AA22&gt;0,(M22-AA22)/AA22,"")</f>
        <v>1</v>
      </c>
      <c r="AE22" s="900">
        <f>IF(AB22&gt;0,(P22-AB22)/AB22,"")</f>
        <v>6.093189964157706E-2</v>
      </c>
      <c r="AF22" s="962"/>
      <c r="AG22" s="906"/>
      <c r="AH22" s="929">
        <f>VLOOKUP($AP22,Final_Figures_1213,VLOOKUP(Background!$C$2,Inst_Tables,14,FALSE),FALSE)</f>
        <v>137</v>
      </c>
      <c r="AI22" s="930">
        <f>VLOOKUP($AP22,Final_Figures_1213,VLOOKUP(Background!$C$2,Inst_Tables,15,FALSE),FALSE)</f>
        <v>1.5</v>
      </c>
      <c r="AJ22" s="931">
        <f>SUM(AH22:AI22)</f>
        <v>138.5</v>
      </c>
      <c r="AK22" s="932">
        <f>IF(AH22&gt;0,(J22-AH22)/AH22,"")</f>
        <v>5.8394160583941604E-2</v>
      </c>
      <c r="AL22" s="933">
        <f>IF(AI22&gt;0,(M22-AI22)/AI22,"")</f>
        <v>1</v>
      </c>
      <c r="AM22" s="934">
        <f>IF(AJ22&gt;0,(P22-AJ22)/AJ22,"")</f>
        <v>6.8592057761732855E-2</v>
      </c>
      <c r="AN22" s="1143"/>
      <c r="AP22" s="992">
        <v>5</v>
      </c>
    </row>
    <row r="23" spans="1:42" ht="30" customHeight="1">
      <c r="A23" s="172" t="s">
        <v>124</v>
      </c>
      <c r="B23" s="91">
        <v>2</v>
      </c>
      <c r="C23" s="93">
        <v>41.4</v>
      </c>
      <c r="D23" s="84">
        <f>SUM(B23:C23)</f>
        <v>43.4</v>
      </c>
      <c r="E23" s="92"/>
      <c r="F23" s="92"/>
      <c r="G23" s="83">
        <f>SUM(E23:F23)</f>
        <v>0</v>
      </c>
      <c r="H23" s="100">
        <f t="shared" si="4"/>
        <v>2</v>
      </c>
      <c r="I23" s="100">
        <f t="shared" si="4"/>
        <v>41.4</v>
      </c>
      <c r="J23" s="87">
        <f>SUM(H23:I23)</f>
        <v>43.4</v>
      </c>
      <c r="K23" s="91">
        <v>216.1</v>
      </c>
      <c r="L23" s="92"/>
      <c r="M23" s="86">
        <f>SUM(K23:L23)</f>
        <v>216.1</v>
      </c>
      <c r="N23" s="99">
        <f>SUM(D23,K23)</f>
        <v>259.5</v>
      </c>
      <c r="O23" s="100">
        <f>SUM(G23,L23)</f>
        <v>0</v>
      </c>
      <c r="P23" s="982">
        <f>SUM(N23:O23)</f>
        <v>259.5</v>
      </c>
      <c r="Q23" s="101"/>
      <c r="R23" s="15"/>
      <c r="S23" s="60"/>
      <c r="T23" s="27"/>
      <c r="U23" s="48"/>
      <c r="V23" s="15"/>
      <c r="W23" s="49"/>
      <c r="X23" s="105"/>
      <c r="Y23" s="961"/>
      <c r="Z23" s="153">
        <f>VLOOKUP($AP23,Early_Stats_1213,VLOOKUP(Background!$C$2,Inst_Tables,14,FALSE),FALSE)</f>
        <v>2.7949999999999999</v>
      </c>
      <c r="AA23" s="134">
        <f>VLOOKUP($AP23,Early_Stats_1213,VLOOKUP(Background!$C$2,Inst_Tables,15,FALSE),FALSE)</f>
        <v>191.53799999999998</v>
      </c>
      <c r="AB23" s="124">
        <f>SUM(Z23:AA23)</f>
        <v>194.33299999999997</v>
      </c>
      <c r="AC23" s="898">
        <f>IF(Z23&gt;0,(J23-Z23)/Z23,"")</f>
        <v>14.52772808586762</v>
      </c>
      <c r="AD23" s="899">
        <f>IF(AA23&gt;0,(M23-AA23)/AA23,"")</f>
        <v>0.12823565036702908</v>
      </c>
      <c r="AE23" s="900">
        <f>IF(AB23&gt;0,(P23-AB23)/AB23,"")</f>
        <v>0.33533676730148787</v>
      </c>
      <c r="AF23" s="962"/>
      <c r="AG23" s="906"/>
      <c r="AH23" s="929">
        <f>VLOOKUP($AP23,Final_Figures_1213,VLOOKUP(Background!$C$2,Inst_Tables,14,FALSE),FALSE)</f>
        <v>7.67</v>
      </c>
      <c r="AI23" s="930">
        <f>VLOOKUP($AP23,Final_Figures_1213,VLOOKUP(Background!$C$2,Inst_Tables,15,FALSE),FALSE)</f>
        <v>172.23</v>
      </c>
      <c r="AJ23" s="931">
        <f>SUM(AH23:AI23)</f>
        <v>179.89999999999998</v>
      </c>
      <c r="AK23" s="932">
        <f>IF(AH23&gt;0,(J23-AH23)/AH23,"")</f>
        <v>4.658409387222946</v>
      </c>
      <c r="AL23" s="933">
        <f>IF(AI23&gt;0,(M23-AI23)/AI23,"")</f>
        <v>0.2547175288857923</v>
      </c>
      <c r="AM23" s="934">
        <f>IF(AJ23&gt;0,(P23-AJ23)/AJ23,"")</f>
        <v>0.4424680377987773</v>
      </c>
      <c r="AN23" s="1143"/>
      <c r="AP23" s="992">
        <v>6</v>
      </c>
    </row>
    <row r="24" spans="1:42" ht="35.1" customHeight="1" thickBot="1">
      <c r="A24" s="174" t="s">
        <v>2</v>
      </c>
      <c r="B24" s="99">
        <f>SUM(B21:B23)</f>
        <v>5</v>
      </c>
      <c r="C24" s="139">
        <f t="shared" ref="C24:J24" si="5">SUM(C21:C23)</f>
        <v>350.4</v>
      </c>
      <c r="D24" s="136">
        <f t="shared" si="5"/>
        <v>355.4</v>
      </c>
      <c r="E24" s="136">
        <f t="shared" si="5"/>
        <v>0</v>
      </c>
      <c r="F24" s="136">
        <f t="shared" si="5"/>
        <v>0</v>
      </c>
      <c r="G24" s="136">
        <f t="shared" si="5"/>
        <v>0</v>
      </c>
      <c r="H24" s="136">
        <f t="shared" si="5"/>
        <v>5</v>
      </c>
      <c r="I24" s="136">
        <f t="shared" si="5"/>
        <v>350.4</v>
      </c>
      <c r="J24" s="140">
        <f t="shared" si="5"/>
        <v>355.4</v>
      </c>
      <c r="K24" s="136">
        <f t="shared" ref="K24:P24" si="6">SUM(K21:K23)</f>
        <v>219.1</v>
      </c>
      <c r="L24" s="136">
        <f t="shared" si="6"/>
        <v>0</v>
      </c>
      <c r="M24" s="141">
        <f t="shared" si="6"/>
        <v>219.1</v>
      </c>
      <c r="N24" s="142">
        <f t="shared" si="6"/>
        <v>574.5</v>
      </c>
      <c r="O24" s="136">
        <f t="shared" si="6"/>
        <v>0</v>
      </c>
      <c r="P24" s="141">
        <f t="shared" si="6"/>
        <v>574.5</v>
      </c>
      <c r="Q24" s="138"/>
      <c r="R24" s="15"/>
      <c r="S24" s="60"/>
      <c r="T24" s="27"/>
      <c r="U24" s="48"/>
      <c r="V24" s="15"/>
      <c r="W24" s="49"/>
      <c r="X24" s="105"/>
      <c r="Y24" s="961"/>
      <c r="Z24" s="453">
        <f>SUM(Z21:Z23)</f>
        <v>245.79499999999999</v>
      </c>
      <c r="AA24" s="454">
        <f>SUM(AA21:AA23)</f>
        <v>193.03799999999998</v>
      </c>
      <c r="AB24" s="150">
        <f>SUM(AB21:AB23)</f>
        <v>438.83299999999997</v>
      </c>
      <c r="AC24" s="889">
        <f t="shared" ref="AC24" si="7">IF(Z24&gt;0,(J24-Z24)/Z24,"")</f>
        <v>0.44592038080514246</v>
      </c>
      <c r="AD24" s="894">
        <f t="shared" ref="AD24" si="8">IF(AA24&gt;0,(M24-AA24)/AA24,"")</f>
        <v>0.13500968721184436</v>
      </c>
      <c r="AE24" s="890">
        <f t="shared" ref="AE24" si="9">IF(AB24&gt;0,(P24-AB24)/AB24,"")</f>
        <v>0.30915405176912408</v>
      </c>
      <c r="AF24" s="962"/>
      <c r="AG24" s="906"/>
      <c r="AH24" s="944">
        <f>SUM(AH21:AH23)</f>
        <v>249.67</v>
      </c>
      <c r="AI24" s="945">
        <f>SUM(AI21:AI23)</f>
        <v>173.73</v>
      </c>
      <c r="AJ24" s="939">
        <f>SUM(AJ21:AJ23)</f>
        <v>423.4</v>
      </c>
      <c r="AK24" s="946">
        <f>IF(AH24&gt;0,(J24-AH24)/AH24,"")</f>
        <v>0.42347899226979613</v>
      </c>
      <c r="AL24" s="947">
        <f>IF(AI24&gt;0,(M24-AI24)/AI24,"")</f>
        <v>0.26115236286191218</v>
      </c>
      <c r="AM24" s="948">
        <f>IF(AJ24&gt;0,(P24-AJ24)/AJ24,"")</f>
        <v>0.35687293339631559</v>
      </c>
      <c r="AN24" s="1143"/>
      <c r="AP24" s="993"/>
    </row>
    <row r="25" spans="1:42" ht="35.1" customHeight="1">
      <c r="A25" s="175" t="s">
        <v>25</v>
      </c>
      <c r="B25" s="50"/>
      <c r="C25" s="94"/>
      <c r="D25" s="52"/>
      <c r="E25" s="51"/>
      <c r="F25" s="51"/>
      <c r="G25" s="46"/>
      <c r="H25" s="46"/>
      <c r="I25" s="46"/>
      <c r="J25" s="53"/>
      <c r="K25" s="50"/>
      <c r="L25" s="51"/>
      <c r="M25" s="53"/>
      <c r="N25" s="46"/>
      <c r="O25" s="46"/>
      <c r="P25" s="983"/>
      <c r="Q25" s="28"/>
      <c r="R25" s="15"/>
      <c r="S25" s="45"/>
      <c r="T25" s="46"/>
      <c r="U25" s="47"/>
      <c r="V25" s="15"/>
      <c r="W25" s="54"/>
      <c r="X25" s="105"/>
      <c r="Y25" s="961"/>
      <c r="Z25" s="130"/>
      <c r="AA25" s="121"/>
      <c r="AB25" s="122"/>
      <c r="AC25" s="896"/>
      <c r="AD25" s="121"/>
      <c r="AE25" s="897"/>
      <c r="AF25" s="962"/>
      <c r="AG25" s="906"/>
      <c r="AH25" s="919"/>
      <c r="AI25" s="920"/>
      <c r="AJ25" s="921"/>
      <c r="AK25" s="922"/>
      <c r="AL25" s="920"/>
      <c r="AM25" s="923"/>
      <c r="AN25" s="1143"/>
      <c r="AP25" s="993"/>
    </row>
    <row r="26" spans="1:42" ht="30" customHeight="1">
      <c r="A26" s="172" t="s">
        <v>122</v>
      </c>
      <c r="B26" s="75"/>
      <c r="C26" s="95"/>
      <c r="D26" s="76"/>
      <c r="E26" s="67"/>
      <c r="F26" s="67"/>
      <c r="G26" s="27"/>
      <c r="H26" s="27"/>
      <c r="I26" s="27"/>
      <c r="J26" s="28"/>
      <c r="K26" s="75"/>
      <c r="L26" s="67"/>
      <c r="M26" s="28"/>
      <c r="N26" s="27"/>
      <c r="O26" s="27"/>
      <c r="P26" s="981"/>
      <c r="Q26" s="28"/>
      <c r="R26" s="15"/>
      <c r="S26" s="60"/>
      <c r="T26" s="27"/>
      <c r="U26" s="48"/>
      <c r="V26" s="15"/>
      <c r="W26" s="49"/>
      <c r="X26" s="105"/>
      <c r="Y26" s="961"/>
      <c r="Z26" s="131"/>
      <c r="AA26" s="125"/>
      <c r="AB26" s="126"/>
      <c r="AC26" s="888"/>
      <c r="AD26" s="125"/>
      <c r="AE26" s="116"/>
      <c r="AF26" s="962"/>
      <c r="AG26" s="906"/>
      <c r="AH26" s="924"/>
      <c r="AI26" s="925"/>
      <c r="AJ26" s="943"/>
      <c r="AK26" s="927"/>
      <c r="AL26" s="925"/>
      <c r="AM26" s="928"/>
      <c r="AN26" s="1143"/>
      <c r="AP26" s="993"/>
    </row>
    <row r="27" spans="1:42" ht="30" customHeight="1">
      <c r="A27" s="176" t="s">
        <v>128</v>
      </c>
      <c r="B27" s="55"/>
      <c r="C27" s="96"/>
      <c r="D27" s="57"/>
      <c r="E27" s="56"/>
      <c r="F27" s="56"/>
      <c r="G27" s="58"/>
      <c r="H27" s="58"/>
      <c r="I27" s="58"/>
      <c r="J27" s="59"/>
      <c r="K27" s="55"/>
      <c r="L27" s="56"/>
      <c r="M27" s="59"/>
      <c r="N27" s="58"/>
      <c r="O27" s="58"/>
      <c r="P27" s="984"/>
      <c r="Q27" s="28"/>
      <c r="R27" s="15"/>
      <c r="S27" s="77"/>
      <c r="T27" s="56"/>
      <c r="U27" s="78"/>
      <c r="V27" s="15"/>
      <c r="W27" s="79"/>
      <c r="X27" s="105"/>
      <c r="Y27" s="961"/>
      <c r="Z27" s="131"/>
      <c r="AA27" s="125"/>
      <c r="AB27" s="123"/>
      <c r="AC27" s="888"/>
      <c r="AD27" s="125"/>
      <c r="AE27" s="116"/>
      <c r="AF27" s="962"/>
      <c r="AG27" s="906"/>
      <c r="AH27" s="924"/>
      <c r="AI27" s="925"/>
      <c r="AJ27" s="926"/>
      <c r="AK27" s="927"/>
      <c r="AL27" s="925"/>
      <c r="AM27" s="928"/>
      <c r="AN27" s="1143"/>
      <c r="AP27" s="993"/>
    </row>
    <row r="28" spans="1:42" ht="30" customHeight="1">
      <c r="A28" s="177" t="s">
        <v>50</v>
      </c>
      <c r="B28" s="91">
        <v>207</v>
      </c>
      <c r="C28" s="93">
        <v>546</v>
      </c>
      <c r="D28" s="86">
        <f>SUM(B28:C28)</f>
        <v>753</v>
      </c>
      <c r="E28" s="92"/>
      <c r="F28" s="92"/>
      <c r="G28" s="86">
        <f>SUM(E28:F28)</f>
        <v>0</v>
      </c>
      <c r="H28" s="100">
        <f t="shared" ref="H28:I31" si="10">SUM(B28,E28)</f>
        <v>207</v>
      </c>
      <c r="I28" s="100">
        <f t="shared" si="10"/>
        <v>546</v>
      </c>
      <c r="J28" s="87">
        <f>SUM(H28:I28)</f>
        <v>753</v>
      </c>
      <c r="K28" s="91"/>
      <c r="L28" s="92"/>
      <c r="M28" s="86">
        <f t="shared" ref="M28:M40" si="11">SUM(K28:L28)</f>
        <v>0</v>
      </c>
      <c r="N28" s="99">
        <f>SUM(D28,K28)</f>
        <v>753</v>
      </c>
      <c r="O28" s="100">
        <f>SUM(G28,L28)</f>
        <v>0</v>
      </c>
      <c r="P28" s="982">
        <f>SUM(N28:O28)</f>
        <v>753</v>
      </c>
      <c r="Q28" s="101"/>
      <c r="R28" s="15"/>
      <c r="S28" s="97">
        <v>4</v>
      </c>
      <c r="T28" s="92"/>
      <c r="U28" s="102">
        <f>SUM(S28:T28)</f>
        <v>4</v>
      </c>
      <c r="V28" s="15"/>
      <c r="W28" s="103">
        <f>SUM(P28,U28)</f>
        <v>757</v>
      </c>
      <c r="X28" s="105"/>
      <c r="Y28" s="961"/>
      <c r="Z28" s="153">
        <f>VLOOKUP($AP28,Early_Stats_1213,VLOOKUP(Background!$C$2,Inst_Tables,14,FALSE),FALSE)</f>
        <v>741</v>
      </c>
      <c r="AA28" s="134">
        <f>VLOOKUP($AP28,Early_Stats_1213,VLOOKUP(Background!$C$2,Inst_Tables,15,FALSE),FALSE)</f>
        <v>0</v>
      </c>
      <c r="AB28" s="124">
        <f>SUM(Z28:AA28)</f>
        <v>741</v>
      </c>
      <c r="AC28" s="898">
        <f t="shared" ref="AC28:AC30" si="12">IF(Z28&gt;0,(J28-Z28)/Z28,"")</f>
        <v>1.6194331983805668E-2</v>
      </c>
      <c r="AD28" s="899" t="str">
        <f t="shared" ref="AD28:AD30" si="13">IF(AA28&gt;0,(M28-AA28)/AA28,"")</f>
        <v/>
      </c>
      <c r="AE28" s="900">
        <f t="shared" ref="AE28:AE30" si="14">IF(AB28&gt;0,(P28-AB28)/AB28,"")</f>
        <v>1.6194331983805668E-2</v>
      </c>
      <c r="AF28" s="962"/>
      <c r="AG28" s="906"/>
      <c r="AH28" s="929">
        <f>VLOOKUP($AP28,Final_Figures_1213,VLOOKUP(Background!$C$2,Inst_Tables,14,FALSE),FALSE)</f>
        <v>739</v>
      </c>
      <c r="AI28" s="930">
        <f>VLOOKUP($AP28,Final_Figures_1213,VLOOKUP(Background!$C$2,Inst_Tables,15,FALSE),FALSE)</f>
        <v>0</v>
      </c>
      <c r="AJ28" s="931">
        <f>SUM(AH28:AI28)</f>
        <v>739</v>
      </c>
      <c r="AK28" s="932">
        <f>IF(AH28&gt;0,(J28-AH28)/AH28,"")</f>
        <v>1.8944519621109608E-2</v>
      </c>
      <c r="AL28" s="933" t="str">
        <f>IF(AI28&gt;0,(M28-AI28)/AI28,"")</f>
        <v/>
      </c>
      <c r="AM28" s="934">
        <f>IF(AJ28&gt;0,(P28-AJ28)/AJ28,"")</f>
        <v>1.8944519621109608E-2</v>
      </c>
      <c r="AN28" s="1143"/>
      <c r="AP28" s="992">
        <v>7</v>
      </c>
    </row>
    <row r="29" spans="1:42" ht="30" customHeight="1">
      <c r="A29" s="177" t="s">
        <v>51</v>
      </c>
      <c r="B29" s="91">
        <v>41</v>
      </c>
      <c r="C29" s="93">
        <v>289</v>
      </c>
      <c r="D29" s="86">
        <f>SUM(B29:C29)</f>
        <v>330</v>
      </c>
      <c r="E29" s="92"/>
      <c r="F29" s="92"/>
      <c r="G29" s="86">
        <f>SUM(E29:F29)</f>
        <v>0</v>
      </c>
      <c r="H29" s="100">
        <f t="shared" si="10"/>
        <v>41</v>
      </c>
      <c r="I29" s="100">
        <f t="shared" si="10"/>
        <v>289</v>
      </c>
      <c r="J29" s="87">
        <f>SUM(H29:I29)</f>
        <v>330</v>
      </c>
      <c r="K29" s="91"/>
      <c r="L29" s="92"/>
      <c r="M29" s="86">
        <f t="shared" si="11"/>
        <v>0</v>
      </c>
      <c r="N29" s="99">
        <f>SUM(D29,K29)</f>
        <v>330</v>
      </c>
      <c r="O29" s="100">
        <f>SUM(G29,L29)</f>
        <v>0</v>
      </c>
      <c r="P29" s="982">
        <f>SUM(N29:O29)</f>
        <v>330</v>
      </c>
      <c r="Q29" s="101"/>
      <c r="R29" s="15"/>
      <c r="S29" s="97">
        <v>9</v>
      </c>
      <c r="T29" s="92"/>
      <c r="U29" s="102">
        <f>SUM(S29:T29)</f>
        <v>9</v>
      </c>
      <c r="V29" s="15"/>
      <c r="W29" s="103">
        <f>SUM(P29,U29)</f>
        <v>339</v>
      </c>
      <c r="X29" s="105"/>
      <c r="Y29" s="961"/>
      <c r="Z29" s="153">
        <f>VLOOKUP($AP29,Early_Stats_1213,VLOOKUP(Background!$C$2,Inst_Tables,14,FALSE),FALSE)</f>
        <v>353</v>
      </c>
      <c r="AA29" s="134">
        <f>VLOOKUP($AP29,Early_Stats_1213,VLOOKUP(Background!$C$2,Inst_Tables,15,FALSE),FALSE)</f>
        <v>0</v>
      </c>
      <c r="AB29" s="124">
        <f>SUM(Z29:AA29)</f>
        <v>353</v>
      </c>
      <c r="AC29" s="898">
        <f t="shared" si="12"/>
        <v>-6.5155807365439092E-2</v>
      </c>
      <c r="AD29" s="899" t="str">
        <f t="shared" si="13"/>
        <v/>
      </c>
      <c r="AE29" s="900">
        <f t="shared" si="14"/>
        <v>-6.5155807365439092E-2</v>
      </c>
      <c r="AF29" s="962"/>
      <c r="AG29" s="906"/>
      <c r="AH29" s="929">
        <f>VLOOKUP($AP29,Final_Figures_1213,VLOOKUP(Background!$C$2,Inst_Tables,14,FALSE),FALSE)</f>
        <v>352</v>
      </c>
      <c r="AI29" s="930">
        <f>VLOOKUP($AP29,Final_Figures_1213,VLOOKUP(Background!$C$2,Inst_Tables,15,FALSE),FALSE)</f>
        <v>0</v>
      </c>
      <c r="AJ29" s="931">
        <f>SUM(AH29:AI29)</f>
        <v>352</v>
      </c>
      <c r="AK29" s="932">
        <f>IF(AH29&gt;0,(J29-AH29)/AH29,"")</f>
        <v>-6.25E-2</v>
      </c>
      <c r="AL29" s="933" t="str">
        <f>IF(AI29&gt;0,(M29-AI29)/AI29,"")</f>
        <v/>
      </c>
      <c r="AM29" s="934">
        <f>IF(AJ29&gt;0,(P29-AJ29)/AJ29,"")</f>
        <v>-6.25E-2</v>
      </c>
      <c r="AN29" s="1143"/>
      <c r="AP29" s="992">
        <v>8</v>
      </c>
    </row>
    <row r="30" spans="1:42" ht="30" customHeight="1">
      <c r="A30" s="177" t="s">
        <v>19</v>
      </c>
      <c r="B30" s="91">
        <v>16</v>
      </c>
      <c r="C30" s="93">
        <v>307</v>
      </c>
      <c r="D30" s="86">
        <f>SUM(B30:C30)</f>
        <v>323</v>
      </c>
      <c r="E30" s="92"/>
      <c r="F30" s="92"/>
      <c r="G30" s="86">
        <f>SUM(E30:F30)</f>
        <v>0</v>
      </c>
      <c r="H30" s="100">
        <f t="shared" si="10"/>
        <v>16</v>
      </c>
      <c r="I30" s="100">
        <f t="shared" si="10"/>
        <v>307</v>
      </c>
      <c r="J30" s="87">
        <f>SUM(H30:I30)</f>
        <v>323</v>
      </c>
      <c r="K30" s="91"/>
      <c r="L30" s="92"/>
      <c r="M30" s="86">
        <f t="shared" si="11"/>
        <v>0</v>
      </c>
      <c r="N30" s="99">
        <f>SUM(D30,K30)</f>
        <v>323</v>
      </c>
      <c r="O30" s="100">
        <f>SUM(G30,L30)</f>
        <v>0</v>
      </c>
      <c r="P30" s="982">
        <f>SUM(N30:O30)</f>
        <v>323</v>
      </c>
      <c r="Q30" s="101"/>
      <c r="R30" s="15"/>
      <c r="S30" s="97">
        <v>111</v>
      </c>
      <c r="T30" s="92"/>
      <c r="U30" s="102">
        <f>SUM(S30:T30)</f>
        <v>111</v>
      </c>
      <c r="V30" s="15"/>
      <c r="W30" s="103">
        <f>SUM(P30,U30)</f>
        <v>434</v>
      </c>
      <c r="X30" s="105"/>
      <c r="Y30" s="961"/>
      <c r="Z30" s="153">
        <f>VLOOKUP($AP30,Early_Stats_1213,VLOOKUP(Background!$C$2,Inst_Tables,14,FALSE),FALSE)</f>
        <v>402</v>
      </c>
      <c r="AA30" s="134">
        <f>VLOOKUP($AP30,Early_Stats_1213,VLOOKUP(Background!$C$2,Inst_Tables,15,FALSE),FALSE)</f>
        <v>0</v>
      </c>
      <c r="AB30" s="124">
        <f>SUM(Z30:AA30)</f>
        <v>402</v>
      </c>
      <c r="AC30" s="898">
        <f t="shared" si="12"/>
        <v>-0.19651741293532338</v>
      </c>
      <c r="AD30" s="899" t="str">
        <f t="shared" si="13"/>
        <v/>
      </c>
      <c r="AE30" s="900">
        <f t="shared" si="14"/>
        <v>-0.19651741293532338</v>
      </c>
      <c r="AF30" s="962"/>
      <c r="AG30" s="906"/>
      <c r="AH30" s="929">
        <f>VLOOKUP($AP30,Final_Figures_1213,VLOOKUP(Background!$C$2,Inst_Tables,14,FALSE),FALSE)</f>
        <v>405</v>
      </c>
      <c r="AI30" s="930">
        <f>VLOOKUP($AP30,Final_Figures_1213,VLOOKUP(Background!$C$2,Inst_Tables,15,FALSE),FALSE)</f>
        <v>0</v>
      </c>
      <c r="AJ30" s="931">
        <f>SUM(AH30:AI30)</f>
        <v>405</v>
      </c>
      <c r="AK30" s="932">
        <f>IF(AH30&gt;0,(J30-AH30)/AH30,"")</f>
        <v>-0.20246913580246914</v>
      </c>
      <c r="AL30" s="933" t="str">
        <f>IF(AI30&gt;0,(M30-AI30)/AI30,"")</f>
        <v/>
      </c>
      <c r="AM30" s="934">
        <f>IF(AJ30&gt;0,(P30-AJ30)/AJ30,"")</f>
        <v>-0.20246913580246914</v>
      </c>
      <c r="AN30" s="1143"/>
      <c r="AP30" s="992">
        <v>9</v>
      </c>
    </row>
    <row r="31" spans="1:42" ht="30" customHeight="1">
      <c r="A31" s="177" t="s">
        <v>20</v>
      </c>
      <c r="B31" s="91"/>
      <c r="C31" s="93">
        <v>65</v>
      </c>
      <c r="D31" s="86">
        <f>SUM(B31:C31)</f>
        <v>65</v>
      </c>
      <c r="E31" s="92"/>
      <c r="F31" s="92"/>
      <c r="G31" s="86">
        <f>SUM(E31:F31)</f>
        <v>0</v>
      </c>
      <c r="H31" s="100">
        <f t="shared" si="10"/>
        <v>0</v>
      </c>
      <c r="I31" s="100">
        <f t="shared" si="10"/>
        <v>65</v>
      </c>
      <c r="J31" s="87">
        <f>SUM(H31:I31)</f>
        <v>65</v>
      </c>
      <c r="K31" s="91"/>
      <c r="L31" s="92"/>
      <c r="M31" s="86">
        <f t="shared" si="11"/>
        <v>0</v>
      </c>
      <c r="N31" s="99">
        <f>SUM(D31,K31)</f>
        <v>65</v>
      </c>
      <c r="O31" s="100">
        <f>SUM(G31,L31)</f>
        <v>0</v>
      </c>
      <c r="P31" s="982">
        <f>SUM(N31:O31)</f>
        <v>65</v>
      </c>
      <c r="Q31" s="101"/>
      <c r="R31" s="15"/>
      <c r="S31" s="97">
        <v>17</v>
      </c>
      <c r="T31" s="92"/>
      <c r="U31" s="102">
        <f>SUM(S31:T31)</f>
        <v>17</v>
      </c>
      <c r="V31" s="15"/>
      <c r="W31" s="103">
        <f>SUM(P31,U31)</f>
        <v>82</v>
      </c>
      <c r="X31" s="105"/>
      <c r="Y31" s="961"/>
      <c r="Z31" s="153">
        <f>VLOOKUP($AP31,Early_Stats_1213,VLOOKUP(Background!$C$2,Inst_Tables,14,FALSE),FALSE)</f>
        <v>77</v>
      </c>
      <c r="AA31" s="134">
        <f>VLOOKUP($AP31,Early_Stats_1213,VLOOKUP(Background!$C$2,Inst_Tables,15,FALSE),FALSE)</f>
        <v>0</v>
      </c>
      <c r="AB31" s="124">
        <f>SUM(Z31:AA31)</f>
        <v>77</v>
      </c>
      <c r="AC31" s="898">
        <f>IF(Z31&gt;0,(J31-Z31)/Z31,"")</f>
        <v>-0.15584415584415584</v>
      </c>
      <c r="AD31" s="899" t="str">
        <f>IF(AA31&gt;0,(M31-AA31)/AA31,"")</f>
        <v/>
      </c>
      <c r="AE31" s="900">
        <f>IF(AB31&gt;0,(P31-AB31)/AB31,"")</f>
        <v>-0.15584415584415584</v>
      </c>
      <c r="AF31" s="962"/>
      <c r="AG31" s="906"/>
      <c r="AH31" s="929">
        <f>VLOOKUP($AP31,Final_Figures_1213,VLOOKUP(Background!$C$2,Inst_Tables,14,FALSE),FALSE)</f>
        <v>77</v>
      </c>
      <c r="AI31" s="930">
        <f>VLOOKUP($AP31,Final_Figures_1213,VLOOKUP(Background!$C$2,Inst_Tables,15,FALSE),FALSE)</f>
        <v>0</v>
      </c>
      <c r="AJ31" s="931">
        <f>SUM(AH31:AI31)</f>
        <v>77</v>
      </c>
      <c r="AK31" s="932">
        <f>IF(AH31&gt;0,(J31-AH31)/AH31,"")</f>
        <v>-0.15584415584415584</v>
      </c>
      <c r="AL31" s="933" t="str">
        <f>IF(AI31&gt;0,(M31-AI31)/AI31,"")</f>
        <v/>
      </c>
      <c r="AM31" s="934">
        <f>IF(AJ31&gt;0,(P31-AJ31)/AJ31,"")</f>
        <v>-0.15584415584415584</v>
      </c>
      <c r="AN31" s="1143"/>
      <c r="AP31" s="992">
        <v>10</v>
      </c>
    </row>
    <row r="32" spans="1:42" ht="30" customHeight="1">
      <c r="A32" s="176" t="s">
        <v>21</v>
      </c>
      <c r="B32" s="61"/>
      <c r="C32" s="63"/>
      <c r="D32" s="68"/>
      <c r="E32" s="63"/>
      <c r="F32" s="62"/>
      <c r="G32" s="68"/>
      <c r="H32" s="64"/>
      <c r="I32" s="64"/>
      <c r="J32" s="65"/>
      <c r="K32" s="63"/>
      <c r="L32" s="62"/>
      <c r="M32" s="65"/>
      <c r="N32" s="64"/>
      <c r="O32" s="64"/>
      <c r="P32" s="985"/>
      <c r="Q32" s="28"/>
      <c r="R32" s="15"/>
      <c r="S32" s="80"/>
      <c r="T32" s="62"/>
      <c r="U32" s="73"/>
      <c r="V32" s="15"/>
      <c r="W32" s="49"/>
      <c r="X32" s="105"/>
      <c r="Y32" s="961"/>
      <c r="Z32" s="132"/>
      <c r="AA32" s="127"/>
      <c r="AB32" s="128"/>
      <c r="AC32" s="888"/>
      <c r="AD32" s="125"/>
      <c r="AE32" s="116"/>
      <c r="AF32" s="962"/>
      <c r="AG32" s="906"/>
      <c r="AH32" s="949"/>
      <c r="AI32" s="950"/>
      <c r="AJ32" s="951"/>
      <c r="AK32" s="927"/>
      <c r="AL32" s="925"/>
      <c r="AM32" s="928"/>
      <c r="AN32" s="1143"/>
      <c r="AP32" s="993"/>
    </row>
    <row r="33" spans="1:42" ht="30" customHeight="1">
      <c r="A33" s="177" t="s">
        <v>134</v>
      </c>
      <c r="B33" s="91">
        <v>6</v>
      </c>
      <c r="C33" s="93">
        <v>578</v>
      </c>
      <c r="D33" s="86">
        <f>SUM(B33:C33)</f>
        <v>584</v>
      </c>
      <c r="E33" s="92"/>
      <c r="F33" s="92"/>
      <c r="G33" s="86">
        <f>SUM(E33:F33)</f>
        <v>0</v>
      </c>
      <c r="H33" s="100">
        <f t="shared" ref="H33:I37" si="15">SUM(B33,E33)</f>
        <v>6</v>
      </c>
      <c r="I33" s="100">
        <f t="shared" si="15"/>
        <v>578</v>
      </c>
      <c r="J33" s="87">
        <f>SUM(H33:I33)</f>
        <v>584</v>
      </c>
      <c r="K33" s="91">
        <v>6.4</v>
      </c>
      <c r="L33" s="92"/>
      <c r="M33" s="86">
        <f t="shared" si="11"/>
        <v>6.4</v>
      </c>
      <c r="N33" s="99">
        <f>SUM(D33,K33)</f>
        <v>590.4</v>
      </c>
      <c r="O33" s="100">
        <f>SUM(G33,L33)</f>
        <v>0</v>
      </c>
      <c r="P33" s="982">
        <f>SUM(N33:O33)</f>
        <v>590.4</v>
      </c>
      <c r="Q33" s="101"/>
      <c r="R33" s="15"/>
      <c r="S33" s="97">
        <v>3</v>
      </c>
      <c r="T33" s="92"/>
      <c r="U33" s="102">
        <f>SUM(S33:T33)</f>
        <v>3</v>
      </c>
      <c r="V33" s="15"/>
      <c r="W33" s="103">
        <f>SUM(P33,U33)</f>
        <v>593.4</v>
      </c>
      <c r="X33" s="105"/>
      <c r="Y33" s="961"/>
      <c r="Z33" s="153">
        <f>VLOOKUP($AP33,Early_Stats_1213,VLOOKUP(Background!$C$2,Inst_Tables,14,FALSE),FALSE)</f>
        <v>581.16700000000003</v>
      </c>
      <c r="AA33" s="134">
        <f>VLOOKUP($AP33,Early_Stats_1213,VLOOKUP(Background!$C$2,Inst_Tables,15,FALSE),FALSE)</f>
        <v>11.567</v>
      </c>
      <c r="AB33" s="124">
        <f>SUM(Z33:AA33)</f>
        <v>592.73400000000004</v>
      </c>
      <c r="AC33" s="898">
        <f t="shared" ref="AC33:AC36" si="16">IF(Z33&gt;0,(J33-Z33)/Z33,"")</f>
        <v>4.8746745771868841E-3</v>
      </c>
      <c r="AD33" s="899">
        <f t="shared" ref="AD33:AD36" si="17">IF(AA33&gt;0,(M33-AA33)/AA33,"")</f>
        <v>-0.44670182415492349</v>
      </c>
      <c r="AE33" s="900">
        <f t="shared" ref="AE33:AE36" si="18">IF(AB33&gt;0,(P33-AB33)/AB33,"")</f>
        <v>-3.9376853698287256E-3</v>
      </c>
      <c r="AF33" s="962"/>
      <c r="AG33" s="906"/>
      <c r="AH33" s="929">
        <f>VLOOKUP($AP33,Final_Figures_1213,VLOOKUP(Background!$C$2,Inst_Tables,14,FALSE),FALSE)</f>
        <v>581.16700000000003</v>
      </c>
      <c r="AI33" s="930">
        <f>VLOOKUP($AP33,Final_Figures_1213,VLOOKUP(Background!$C$2,Inst_Tables,15,FALSE),FALSE)</f>
        <v>11.3</v>
      </c>
      <c r="AJ33" s="931">
        <f>SUM(AH33:AI33)</f>
        <v>592.46699999999998</v>
      </c>
      <c r="AK33" s="932">
        <f>IF(AH33&gt;0,(J33-AH33)/AH33,"")</f>
        <v>4.8746745771868841E-3</v>
      </c>
      <c r="AL33" s="933">
        <f>IF(AI33&gt;0,(M33-AI33)/AI33,"")</f>
        <v>-0.4336283185840708</v>
      </c>
      <c r="AM33" s="934">
        <f>IF(AJ33&gt;0,(P33-AJ33)/AJ33,"")</f>
        <v>-3.4888019079543794E-3</v>
      </c>
      <c r="AN33" s="1143"/>
      <c r="AP33" s="992">
        <v>11</v>
      </c>
    </row>
    <row r="34" spans="1:42" ht="30" customHeight="1">
      <c r="A34" s="177" t="s">
        <v>35</v>
      </c>
      <c r="B34" s="91"/>
      <c r="C34" s="93"/>
      <c r="D34" s="86">
        <f>SUM(B34:C34)</f>
        <v>0</v>
      </c>
      <c r="E34" s="92"/>
      <c r="F34" s="92"/>
      <c r="G34" s="86">
        <f>SUM(E34:F34)</f>
        <v>0</v>
      </c>
      <c r="H34" s="100">
        <f>SUM(B34,E34)</f>
        <v>0</v>
      </c>
      <c r="I34" s="100">
        <f>SUM(C34,F34)</f>
        <v>0</v>
      </c>
      <c r="J34" s="87">
        <f>SUM(H34:I34)</f>
        <v>0</v>
      </c>
      <c r="K34" s="91"/>
      <c r="L34" s="92"/>
      <c r="M34" s="86">
        <f t="shared" si="11"/>
        <v>0</v>
      </c>
      <c r="N34" s="99">
        <f>SUM(D34,K34)</f>
        <v>0</v>
      </c>
      <c r="O34" s="100">
        <f>SUM(G34,L34)</f>
        <v>0</v>
      </c>
      <c r="P34" s="982">
        <f>SUM(N34:O34)</f>
        <v>0</v>
      </c>
      <c r="Q34" s="101"/>
      <c r="R34" s="15"/>
      <c r="S34" s="97"/>
      <c r="T34" s="92"/>
      <c r="U34" s="102">
        <f>SUM(S34:T34)</f>
        <v>0</v>
      </c>
      <c r="V34" s="15"/>
      <c r="W34" s="103">
        <f>SUM(P34,U34)</f>
        <v>0</v>
      </c>
      <c r="X34" s="105"/>
      <c r="Y34" s="961"/>
      <c r="Z34" s="153">
        <f>VLOOKUP($AP34,Early_Stats_1213,VLOOKUP(Background!$C$2,Inst_Tables,14,FALSE),FALSE)</f>
        <v>0</v>
      </c>
      <c r="AA34" s="134">
        <f>VLOOKUP($AP34,Early_Stats_1213,VLOOKUP(Background!$C$2,Inst_Tables,15,FALSE),FALSE)</f>
        <v>0</v>
      </c>
      <c r="AB34" s="124">
        <f>SUM(Z34:AA34)</f>
        <v>0</v>
      </c>
      <c r="AC34" s="898" t="str">
        <f t="shared" si="16"/>
        <v/>
      </c>
      <c r="AD34" s="899" t="str">
        <f t="shared" si="17"/>
        <v/>
      </c>
      <c r="AE34" s="900" t="str">
        <f t="shared" si="18"/>
        <v/>
      </c>
      <c r="AF34" s="962"/>
      <c r="AG34" s="906"/>
      <c r="AH34" s="929">
        <f>VLOOKUP($AP34,Final_Figures_1213,VLOOKUP(Background!$C$2,Inst_Tables,14,FALSE),FALSE)</f>
        <v>0</v>
      </c>
      <c r="AI34" s="930">
        <f>VLOOKUP($AP34,Final_Figures_1213,VLOOKUP(Background!$C$2,Inst_Tables,15,FALSE),FALSE)</f>
        <v>0</v>
      </c>
      <c r="AJ34" s="931">
        <f>SUM(AH34:AI34)</f>
        <v>0</v>
      </c>
      <c r="AK34" s="932" t="str">
        <f>IF(AH34&gt;0,(J34-AH34)/AH34,"")</f>
        <v/>
      </c>
      <c r="AL34" s="933" t="str">
        <f>IF(AI34&gt;0,(M34-AI34)/AI34,"")</f>
        <v/>
      </c>
      <c r="AM34" s="934" t="str">
        <f>IF(AJ34&gt;0,(P34-AJ34)/AJ34,"")</f>
        <v/>
      </c>
      <c r="AN34" s="1143"/>
      <c r="AP34" s="992">
        <v>12</v>
      </c>
    </row>
    <row r="35" spans="1:42" ht="30" customHeight="1">
      <c r="A35" s="177" t="s">
        <v>36</v>
      </c>
      <c r="B35" s="91"/>
      <c r="C35" s="93"/>
      <c r="D35" s="86">
        <f>SUM(B35:C35)</f>
        <v>0</v>
      </c>
      <c r="E35" s="92"/>
      <c r="F35" s="92"/>
      <c r="G35" s="86">
        <f>SUM(E35:F35)</f>
        <v>0</v>
      </c>
      <c r="H35" s="100">
        <f t="shared" si="15"/>
        <v>0</v>
      </c>
      <c r="I35" s="100">
        <f t="shared" si="15"/>
        <v>0</v>
      </c>
      <c r="J35" s="87">
        <f>SUM(H35:I35)</f>
        <v>0</v>
      </c>
      <c r="K35" s="91"/>
      <c r="L35" s="92"/>
      <c r="M35" s="86">
        <f t="shared" si="11"/>
        <v>0</v>
      </c>
      <c r="N35" s="99">
        <f>SUM(D35,K35)</f>
        <v>0</v>
      </c>
      <c r="O35" s="100">
        <f>SUM(G35,L35)</f>
        <v>0</v>
      </c>
      <c r="P35" s="982">
        <f>SUM(N35:O35)</f>
        <v>0</v>
      </c>
      <c r="Q35" s="101"/>
      <c r="R35" s="15"/>
      <c r="S35" s="97"/>
      <c r="T35" s="92"/>
      <c r="U35" s="102">
        <f>SUM(S35:T35)</f>
        <v>0</v>
      </c>
      <c r="V35" s="15"/>
      <c r="W35" s="103">
        <f>SUM(P35,U35)</f>
        <v>0</v>
      </c>
      <c r="X35" s="105"/>
      <c r="Y35" s="961"/>
      <c r="Z35" s="153">
        <f>VLOOKUP($AP35,Early_Stats_1213,VLOOKUP(Background!$C$2,Inst_Tables,14,FALSE),FALSE)</f>
        <v>0</v>
      </c>
      <c r="AA35" s="134">
        <f>VLOOKUP($AP35,Early_Stats_1213,VLOOKUP(Background!$C$2,Inst_Tables,15,FALSE),FALSE)</f>
        <v>0</v>
      </c>
      <c r="AB35" s="124">
        <f>SUM(Z35:AA35)</f>
        <v>0</v>
      </c>
      <c r="AC35" s="898" t="str">
        <f t="shared" si="16"/>
        <v/>
      </c>
      <c r="AD35" s="899" t="str">
        <f t="shared" si="17"/>
        <v/>
      </c>
      <c r="AE35" s="900" t="str">
        <f t="shared" si="18"/>
        <v/>
      </c>
      <c r="AF35" s="962"/>
      <c r="AG35" s="906"/>
      <c r="AH35" s="929">
        <f>VLOOKUP($AP35,Final_Figures_1213,VLOOKUP(Background!$C$2,Inst_Tables,14,FALSE),FALSE)</f>
        <v>0</v>
      </c>
      <c r="AI35" s="930">
        <f>VLOOKUP($AP35,Final_Figures_1213,VLOOKUP(Background!$C$2,Inst_Tables,15,FALSE),FALSE)</f>
        <v>0</v>
      </c>
      <c r="AJ35" s="931">
        <f>SUM(AH35:AI35)</f>
        <v>0</v>
      </c>
      <c r="AK35" s="932" t="str">
        <f>IF(AH35&gt;0,(J35-AH35)/AH35,"")</f>
        <v/>
      </c>
      <c r="AL35" s="933" t="str">
        <f>IF(AI35&gt;0,(M35-AI35)/AI35,"")</f>
        <v/>
      </c>
      <c r="AM35" s="934" t="str">
        <f>IF(AJ35&gt;0,(P35-AJ35)/AJ35,"")</f>
        <v/>
      </c>
      <c r="AN35" s="1143"/>
      <c r="AP35" s="992">
        <v>13</v>
      </c>
    </row>
    <row r="36" spans="1:42" ht="30" customHeight="1">
      <c r="A36" s="177" t="s">
        <v>37</v>
      </c>
      <c r="B36" s="91">
        <v>1</v>
      </c>
      <c r="C36" s="93">
        <v>106</v>
      </c>
      <c r="D36" s="86">
        <f>SUM(B36:C36)</f>
        <v>107</v>
      </c>
      <c r="E36" s="92"/>
      <c r="F36" s="92"/>
      <c r="G36" s="86">
        <f>SUM(E36:F36)</f>
        <v>0</v>
      </c>
      <c r="H36" s="100">
        <f t="shared" si="15"/>
        <v>1</v>
      </c>
      <c r="I36" s="100">
        <f t="shared" si="15"/>
        <v>106</v>
      </c>
      <c r="J36" s="87">
        <f>SUM(H36:I36)</f>
        <v>107</v>
      </c>
      <c r="K36" s="91">
        <v>1.6</v>
      </c>
      <c r="L36" s="92"/>
      <c r="M36" s="86">
        <f t="shared" si="11"/>
        <v>1.6</v>
      </c>
      <c r="N36" s="99">
        <f>SUM(D36,K36)</f>
        <v>108.6</v>
      </c>
      <c r="O36" s="100">
        <f>SUM(G36,L36)</f>
        <v>0</v>
      </c>
      <c r="P36" s="982">
        <f>SUM(N36:O36)</f>
        <v>108.6</v>
      </c>
      <c r="Q36" s="101"/>
      <c r="R36" s="15"/>
      <c r="S36" s="97"/>
      <c r="T36" s="92"/>
      <c r="U36" s="102">
        <f>SUM(S36:T36)</f>
        <v>0</v>
      </c>
      <c r="V36" s="15"/>
      <c r="W36" s="103">
        <f>SUM(P36,U36)</f>
        <v>108.6</v>
      </c>
      <c r="X36" s="105"/>
      <c r="Y36" s="961"/>
      <c r="Z36" s="153">
        <f>VLOOKUP($AP36,Early_Stats_1213,VLOOKUP(Background!$C$2,Inst_Tables,14,FALSE),FALSE)</f>
        <v>121</v>
      </c>
      <c r="AA36" s="134">
        <f>VLOOKUP($AP36,Early_Stats_1213,VLOOKUP(Background!$C$2,Inst_Tables,15,FALSE),FALSE)</f>
        <v>0</v>
      </c>
      <c r="AB36" s="124">
        <f>SUM(Z36:AA36)</f>
        <v>121</v>
      </c>
      <c r="AC36" s="898">
        <f t="shared" si="16"/>
        <v>-0.11570247933884298</v>
      </c>
      <c r="AD36" s="899" t="str">
        <f t="shared" si="17"/>
        <v/>
      </c>
      <c r="AE36" s="900">
        <f t="shared" si="18"/>
        <v>-0.10247933884297525</v>
      </c>
      <c r="AF36" s="962"/>
      <c r="AG36" s="906"/>
      <c r="AH36" s="929">
        <f>VLOOKUP($AP36,Final_Figures_1213,VLOOKUP(Background!$C$2,Inst_Tables,14,FALSE),FALSE)</f>
        <v>114</v>
      </c>
      <c r="AI36" s="930">
        <f>VLOOKUP($AP36,Final_Figures_1213,VLOOKUP(Background!$C$2,Inst_Tables,15,FALSE),FALSE)</f>
        <v>0</v>
      </c>
      <c r="AJ36" s="931">
        <f>SUM(AH36:AI36)</f>
        <v>114</v>
      </c>
      <c r="AK36" s="932">
        <f>IF(AH36&gt;0,(J36-AH36)/AH36,"")</f>
        <v>-6.1403508771929821E-2</v>
      </c>
      <c r="AL36" s="933" t="str">
        <f>IF(AI36&gt;0,(M36-AI36)/AI36,"")</f>
        <v/>
      </c>
      <c r="AM36" s="934">
        <f>IF(AJ36&gt;0,(P36-AJ36)/AJ36,"")</f>
        <v>-4.7368421052631629E-2</v>
      </c>
      <c r="AN36" s="1143"/>
      <c r="AP36" s="992">
        <v>14</v>
      </c>
    </row>
    <row r="37" spans="1:42" ht="30" customHeight="1">
      <c r="A37" s="176" t="s">
        <v>123</v>
      </c>
      <c r="B37" s="61"/>
      <c r="C37" s="93"/>
      <c r="D37" s="86">
        <f>C37</f>
        <v>0</v>
      </c>
      <c r="E37" s="63"/>
      <c r="F37" s="92"/>
      <c r="G37" s="86">
        <f>F37</f>
        <v>0</v>
      </c>
      <c r="H37" s="100"/>
      <c r="I37" s="100">
        <f t="shared" si="15"/>
        <v>0</v>
      </c>
      <c r="J37" s="87">
        <f>SUM(H37:I37)</f>
        <v>0</v>
      </c>
      <c r="K37" s="93"/>
      <c r="L37" s="92"/>
      <c r="M37" s="86">
        <f t="shared" si="11"/>
        <v>0</v>
      </c>
      <c r="N37" s="99">
        <f>SUM(D37,K37)</f>
        <v>0</v>
      </c>
      <c r="O37" s="100">
        <f>SUM(G37,L37)</f>
        <v>0</v>
      </c>
      <c r="P37" s="982">
        <f>SUM(N37:O37)</f>
        <v>0</v>
      </c>
      <c r="Q37" s="101"/>
      <c r="R37" s="15"/>
      <c r="S37" s="81"/>
      <c r="T37" s="82"/>
      <c r="U37" s="107"/>
      <c r="V37" s="15"/>
      <c r="W37" s="74"/>
      <c r="X37" s="105"/>
      <c r="Y37" s="961"/>
      <c r="Z37" s="153">
        <f>VLOOKUP($AP37,Early_Stats_1213,VLOOKUP(Background!$C$2,Inst_Tables,14,FALSE),FALSE)</f>
        <v>0</v>
      </c>
      <c r="AA37" s="134">
        <f>VLOOKUP($AP37,Early_Stats_1213,VLOOKUP(Background!$C$2,Inst_Tables,15,FALSE),FALSE)</f>
        <v>0</v>
      </c>
      <c r="AB37" s="124">
        <f>SUM(Z37:AA37)</f>
        <v>0</v>
      </c>
      <c r="AC37" s="898" t="str">
        <f>IF(Z37&gt;0,(J37-Z37)/Z37,"")</f>
        <v/>
      </c>
      <c r="AD37" s="899" t="str">
        <f>IF(AA37&gt;0,(M37-AA37)/AA37,"")</f>
        <v/>
      </c>
      <c r="AE37" s="900" t="str">
        <f>IF(AB37&gt;0,(P37-AB37)/AB37,"")</f>
        <v/>
      </c>
      <c r="AF37" s="962"/>
      <c r="AG37" s="906"/>
      <c r="AH37" s="929">
        <f>VLOOKUP($AP37,Final_Figures_1213,VLOOKUP(Background!$C$2,Inst_Tables,14,FALSE),FALSE)</f>
        <v>0</v>
      </c>
      <c r="AI37" s="930">
        <f>VLOOKUP($AP37,Final_Figures_1213,VLOOKUP(Background!$C$2,Inst_Tables,15,FALSE),FALSE)</f>
        <v>0</v>
      </c>
      <c r="AJ37" s="931">
        <f>SUM(AH37:AI37)</f>
        <v>0</v>
      </c>
      <c r="AK37" s="932" t="str">
        <f>IF(AH37&gt;0,(J37-AH37)/AH37,"")</f>
        <v/>
      </c>
      <c r="AL37" s="933" t="str">
        <f>IF(AI37&gt;0,(M37-AI37)/AI37,"")</f>
        <v/>
      </c>
      <c r="AM37" s="934" t="str">
        <f>IF(AJ37&gt;0,(P37-AJ37)/AJ37,"")</f>
        <v/>
      </c>
      <c r="AN37" s="1143"/>
      <c r="AP37" s="992">
        <v>15</v>
      </c>
    </row>
    <row r="38" spans="1:42" ht="30" customHeight="1">
      <c r="A38" s="172" t="s">
        <v>124</v>
      </c>
      <c r="B38" s="61"/>
      <c r="C38" s="63"/>
      <c r="D38" s="68"/>
      <c r="E38" s="63"/>
      <c r="F38" s="62"/>
      <c r="G38" s="68"/>
      <c r="H38" s="64"/>
      <c r="I38" s="64"/>
      <c r="J38" s="65"/>
      <c r="K38" s="63"/>
      <c r="L38" s="62"/>
      <c r="M38" s="65"/>
      <c r="N38" s="64"/>
      <c r="O38" s="64"/>
      <c r="P38" s="985"/>
      <c r="Q38" s="28"/>
      <c r="R38" s="15"/>
      <c r="S38" s="60"/>
      <c r="T38" s="27"/>
      <c r="U38" s="48"/>
      <c r="V38" s="15"/>
      <c r="W38" s="49"/>
      <c r="X38" s="105"/>
      <c r="Y38" s="961"/>
      <c r="Z38" s="132"/>
      <c r="AA38" s="127"/>
      <c r="AB38" s="128"/>
      <c r="AC38" s="888"/>
      <c r="AD38" s="125"/>
      <c r="AE38" s="116"/>
      <c r="AF38" s="962"/>
      <c r="AG38" s="906"/>
      <c r="AH38" s="949"/>
      <c r="AI38" s="950"/>
      <c r="AJ38" s="951"/>
      <c r="AK38" s="927"/>
      <c r="AL38" s="925"/>
      <c r="AM38" s="928"/>
      <c r="AN38" s="1143"/>
      <c r="AP38" s="993"/>
    </row>
    <row r="39" spans="1:42" ht="30" customHeight="1">
      <c r="A39" s="660" t="s">
        <v>258</v>
      </c>
      <c r="B39" s="91">
        <v>256.3</v>
      </c>
      <c r="C39" s="93">
        <v>4965.8</v>
      </c>
      <c r="D39" s="86">
        <f>SUM(B39:C39)</f>
        <v>5222.1000000000004</v>
      </c>
      <c r="E39" s="92"/>
      <c r="F39" s="92"/>
      <c r="G39" s="86">
        <f>SUM(E39:F39)</f>
        <v>0</v>
      </c>
      <c r="H39" s="100">
        <f>SUM(B39,E39)</f>
        <v>256.3</v>
      </c>
      <c r="I39" s="100">
        <f>SUM(C39,F39)</f>
        <v>4965.8</v>
      </c>
      <c r="J39" s="87">
        <f>SUM(H39:I39)</f>
        <v>5222.1000000000004</v>
      </c>
      <c r="K39" s="91">
        <v>30.2</v>
      </c>
      <c r="L39" s="92"/>
      <c r="M39" s="86">
        <f t="shared" si="11"/>
        <v>30.2</v>
      </c>
      <c r="N39" s="99">
        <f>SUM(D39,K39)</f>
        <v>5252.3</v>
      </c>
      <c r="O39" s="100">
        <f>SUM(G39,L39)</f>
        <v>0</v>
      </c>
      <c r="P39" s="982">
        <f>SUM(N39:O39)</f>
        <v>5252.3</v>
      </c>
      <c r="Q39" s="101"/>
      <c r="R39" s="15"/>
      <c r="S39" s="60"/>
      <c r="T39" s="27"/>
      <c r="U39" s="48"/>
      <c r="V39" s="15"/>
      <c r="W39" s="49"/>
      <c r="X39" s="105"/>
      <c r="Y39" s="961"/>
      <c r="Z39" s="153">
        <f>VLOOKUP($AP39,Early_Stats_1213,VLOOKUP(Background!$C$2,Inst_Tables,14,FALSE),FALSE)</f>
        <v>5294.2139999999999</v>
      </c>
      <c r="AA39" s="134">
        <f>VLOOKUP($AP39,Early_Stats_1213,VLOOKUP(Background!$C$2,Inst_Tables,15,FALSE),FALSE)</f>
        <v>122.52249999999999</v>
      </c>
      <c r="AB39" s="124">
        <f>SUM(Z39:AA39)</f>
        <v>5416.7365</v>
      </c>
      <c r="AC39" s="898">
        <f t="shared" ref="AC39:AC40" si="19">IF(Z39&gt;0,(J39-Z39)/Z39,"")</f>
        <v>-1.3621285425938502E-2</v>
      </c>
      <c r="AD39" s="899">
        <f t="shared" ref="AD39:AD40" si="20">IF(AA39&gt;0,(M39-AA39)/AA39,"")</f>
        <v>-0.7535146605725479</v>
      </c>
      <c r="AE39" s="900">
        <f t="shared" ref="AE39:AE40" si="21">IF(AB39&gt;0,(P39-AB39)/AB39,"")</f>
        <v>-3.0357116319023419E-2</v>
      </c>
      <c r="AF39" s="962"/>
      <c r="AG39" s="906"/>
      <c r="AH39" s="929">
        <f>VLOOKUP($AP39,Final_Figures_1213,VLOOKUP(Background!$C$2,Inst_Tables,14,FALSE),FALSE)</f>
        <v>5316.6819999999998</v>
      </c>
      <c r="AI39" s="930">
        <f>VLOOKUP($AP39,Final_Figures_1213,VLOOKUP(Background!$C$2,Inst_Tables,15,FALSE),FALSE)</f>
        <v>88</v>
      </c>
      <c r="AJ39" s="931">
        <f>SUM(AH39:AI39)</f>
        <v>5404.6819999999998</v>
      </c>
      <c r="AK39" s="932">
        <f>IF(AH39&gt;0,(J39-AH39)/AH39,"")</f>
        <v>-1.7789666562717014E-2</v>
      </c>
      <c r="AL39" s="933">
        <f>IF(AI39&gt;0,(M39-AI39)/AI39,"")</f>
        <v>-0.65681818181818175</v>
      </c>
      <c r="AM39" s="934">
        <f>IF(AJ39&gt;0,(P39-AJ39)/AJ39,"")</f>
        <v>-2.8194443262341728E-2</v>
      </c>
      <c r="AN39" s="1143"/>
      <c r="AP39" s="992">
        <v>16</v>
      </c>
    </row>
    <row r="40" spans="1:42" ht="30" customHeight="1">
      <c r="A40" s="660" t="s">
        <v>259</v>
      </c>
      <c r="B40" s="91">
        <v>455.07</v>
      </c>
      <c r="C40" s="93">
        <v>6356.56</v>
      </c>
      <c r="D40" s="86">
        <f>SUM(B40:C40)</f>
        <v>6811.63</v>
      </c>
      <c r="E40" s="92"/>
      <c r="F40" s="92"/>
      <c r="G40" s="86">
        <f>SUM(E40:F40)</f>
        <v>0</v>
      </c>
      <c r="H40" s="100">
        <f>SUM(B40,E40)</f>
        <v>455.07</v>
      </c>
      <c r="I40" s="100">
        <f>SUM(C40,F40)</f>
        <v>6356.56</v>
      </c>
      <c r="J40" s="87">
        <f>SUM(H40:I40)</f>
        <v>6811.63</v>
      </c>
      <c r="K40" s="91">
        <v>107.7</v>
      </c>
      <c r="L40" s="92"/>
      <c r="M40" s="86">
        <f t="shared" si="11"/>
        <v>107.7</v>
      </c>
      <c r="N40" s="99">
        <f>SUM(D40,K40)</f>
        <v>6919.33</v>
      </c>
      <c r="O40" s="100">
        <f>SUM(G40,L40)</f>
        <v>0</v>
      </c>
      <c r="P40" s="982">
        <f>SUM(N40:O40)</f>
        <v>6919.33</v>
      </c>
      <c r="Q40" s="101"/>
      <c r="R40" s="15"/>
      <c r="S40" s="60"/>
      <c r="T40" s="27"/>
      <c r="U40" s="48"/>
      <c r="V40" s="15"/>
      <c r="W40" s="49"/>
      <c r="X40" s="105"/>
      <c r="Y40" s="961"/>
      <c r="Z40" s="153">
        <f>VLOOKUP($AP40,Early_Stats_1213,VLOOKUP(Background!$C$2,Inst_Tables,14,FALSE),FALSE)</f>
        <v>7142.5209999999997</v>
      </c>
      <c r="AA40" s="134">
        <f>VLOOKUP($AP40,Early_Stats_1213,VLOOKUP(Background!$C$2,Inst_Tables,15,FALSE),FALSE)</f>
        <v>462.97250000000003</v>
      </c>
      <c r="AB40" s="124">
        <f>SUM(Z40:AA40)</f>
        <v>7605.4934999999996</v>
      </c>
      <c r="AC40" s="898">
        <f t="shared" si="19"/>
        <v>-4.6326920144861963E-2</v>
      </c>
      <c r="AD40" s="899">
        <f t="shared" si="20"/>
        <v>-0.76737279212048237</v>
      </c>
      <c r="AE40" s="900">
        <f t="shared" si="21"/>
        <v>-9.0219457816905602E-2</v>
      </c>
      <c r="AF40" s="962"/>
      <c r="AG40" s="906"/>
      <c r="AH40" s="929">
        <f>VLOOKUP($AP40,Final_Figures_1213,VLOOKUP(Background!$C$2,Inst_Tables,14,FALSE),FALSE)</f>
        <v>7184.3649999999998</v>
      </c>
      <c r="AI40" s="930">
        <f>VLOOKUP($AP40,Final_Figures_1213,VLOOKUP(Background!$C$2,Inst_Tables,15,FALSE),FALSE)</f>
        <v>347.5</v>
      </c>
      <c r="AJ40" s="931">
        <f>SUM(AH40:AI40)</f>
        <v>7531.8649999999998</v>
      </c>
      <c r="AK40" s="932">
        <f>IF(AH40&gt;0,(J40-AH40)/AH40,"")</f>
        <v>-5.1881411927150095E-2</v>
      </c>
      <c r="AL40" s="933">
        <f>IF(AI40&gt;0,(M40-AI40)/AI40,"")</f>
        <v>-0.6900719424460432</v>
      </c>
      <c r="AM40" s="934">
        <f>IF(AJ40&gt;0,(P40-AJ40)/AJ40,"")</f>
        <v>-8.1325807087620383E-2</v>
      </c>
      <c r="AN40" s="1143"/>
      <c r="AP40" s="992">
        <v>17</v>
      </c>
    </row>
    <row r="41" spans="1:42" ht="35.1" customHeight="1" thickBot="1">
      <c r="A41" s="178" t="s">
        <v>2</v>
      </c>
      <c r="B41" s="135">
        <f>SUM(B28:B31,B33:B36,B39:B40)</f>
        <v>982.36999999999989</v>
      </c>
      <c r="C41" s="136">
        <f>SUM(C28:C31,C33:C37,C39:C40)</f>
        <v>13213.36</v>
      </c>
      <c r="D41" s="141">
        <f>SUM(D28:D31,D33:D37,D39:D40)</f>
        <v>14195.73</v>
      </c>
      <c r="E41" s="136">
        <f>SUM(E28:E31,E33:E36,E39:E40)</f>
        <v>0</v>
      </c>
      <c r="F41" s="136">
        <f>SUM(F28:F31,F33:F37,F39:F40)</f>
        <v>0</v>
      </c>
      <c r="G41" s="141">
        <f>SUM(G28:G31,G33:G37,G39:G40)</f>
        <v>0</v>
      </c>
      <c r="H41" s="136">
        <f>SUM(H28:H31,H33:H36,H39:H40)</f>
        <v>982.36999999999989</v>
      </c>
      <c r="I41" s="136">
        <f t="shared" ref="I41:P41" si="22">SUM(I28:I31,I33:I37,I39:I40)</f>
        <v>13213.36</v>
      </c>
      <c r="J41" s="138">
        <f t="shared" si="22"/>
        <v>14195.73</v>
      </c>
      <c r="K41" s="135">
        <f t="shared" si="22"/>
        <v>145.9</v>
      </c>
      <c r="L41" s="136">
        <f t="shared" si="22"/>
        <v>0</v>
      </c>
      <c r="M41" s="141">
        <f t="shared" si="22"/>
        <v>145.9</v>
      </c>
      <c r="N41" s="135">
        <f t="shared" si="22"/>
        <v>14341.630000000001</v>
      </c>
      <c r="O41" s="136">
        <f t="shared" si="22"/>
        <v>0</v>
      </c>
      <c r="P41" s="141">
        <f t="shared" si="22"/>
        <v>14341.630000000001</v>
      </c>
      <c r="Q41" s="138"/>
      <c r="R41" s="15"/>
      <c r="S41" s="69"/>
      <c r="T41" s="70"/>
      <c r="U41" s="71"/>
      <c r="V41" s="15"/>
      <c r="W41" s="72"/>
      <c r="X41" s="105"/>
      <c r="Y41" s="961"/>
      <c r="Z41" s="455">
        <f>SUM(Z28:Z31,Z33:Z37,Z39:Z40)</f>
        <v>14711.901999999998</v>
      </c>
      <c r="AA41" s="454">
        <f>SUM(AA28:AA31,AA33:AA37,AA39:AA40)</f>
        <v>597.06200000000001</v>
      </c>
      <c r="AB41" s="150">
        <f>SUM(AB28:AB31,AB33:AB37,AB39:AB40)</f>
        <v>15308.964</v>
      </c>
      <c r="AC41" s="891">
        <f t="shared" ref="AC41" si="23">IF(Z41&gt;0,(J41-Z41)/Z41,"")</f>
        <v>-3.5085334309594964E-2</v>
      </c>
      <c r="AD41" s="895">
        <f t="shared" ref="AD41" si="24">IF(AA41&gt;0,(M41-AA41)/AA41,"")</f>
        <v>-0.75563676804084001</v>
      </c>
      <c r="AE41" s="892">
        <f t="shared" ref="AE41" si="25">IF(AB41&gt;0,(P41-AB41)/AB41,"")</f>
        <v>-6.3187424047766977E-2</v>
      </c>
      <c r="AF41" s="962"/>
      <c r="AG41" s="906"/>
      <c r="AH41" s="952">
        <f>SUM(AH28:AH31,AH33:AH37,AH39:AH40)</f>
        <v>14769.214</v>
      </c>
      <c r="AI41" s="945">
        <f>SUM(AI28:AI31,AI33:AI37,AI39:AI40)</f>
        <v>446.8</v>
      </c>
      <c r="AJ41" s="939">
        <f>SUM(AJ28:AJ31,AJ33:AJ37,AJ39:AJ40)</f>
        <v>15216.013999999999</v>
      </c>
      <c r="AK41" s="940">
        <f>IF(AH41&gt;0,(J41-AH41)/AH41,"")</f>
        <v>-3.8829689921210456E-2</v>
      </c>
      <c r="AL41" s="941">
        <f>IF(AI41&gt;0,(M41-AI41)/AI41,"")</f>
        <v>-0.67345568487018792</v>
      </c>
      <c r="AM41" s="942">
        <f>IF(AJ41&gt;0,(P41-AJ41)/AJ41,"")</f>
        <v>-5.7464721049809646E-2</v>
      </c>
      <c r="AN41" s="1143"/>
      <c r="AP41" s="994"/>
    </row>
    <row r="42" spans="1:42" ht="35.1" customHeight="1" thickBot="1">
      <c r="A42" s="170" t="s">
        <v>130</v>
      </c>
      <c r="B42" s="109"/>
      <c r="C42" s="110"/>
      <c r="D42" s="143">
        <f>SUM(D13,D18,D24,D41)</f>
        <v>16554.48</v>
      </c>
      <c r="E42" s="108"/>
      <c r="F42" s="108"/>
      <c r="G42" s="143">
        <f>SUM(G13,G18,G24,G41)</f>
        <v>61.674999999999997</v>
      </c>
      <c r="H42" s="85"/>
      <c r="I42" s="85"/>
      <c r="J42" s="144">
        <f>SUM(J13,J18,J24,J41)</f>
        <v>16616.154999999999</v>
      </c>
      <c r="K42" s="145">
        <f t="shared" ref="K42:P42" si="26">SUM(K13,K18,K24,K41)</f>
        <v>739.16</v>
      </c>
      <c r="L42" s="143">
        <f t="shared" si="26"/>
        <v>10.1</v>
      </c>
      <c r="M42" s="146">
        <f>SUM(M13,M18,M24,M41)</f>
        <v>749.26</v>
      </c>
      <c r="N42" s="147">
        <f t="shared" si="26"/>
        <v>17293.64</v>
      </c>
      <c r="O42" s="143">
        <f t="shared" si="26"/>
        <v>71.774999999999991</v>
      </c>
      <c r="P42" s="146">
        <f t="shared" si="26"/>
        <v>17365.415000000001</v>
      </c>
      <c r="Q42" s="971"/>
      <c r="R42" s="15"/>
      <c r="S42" s="69"/>
      <c r="T42" s="70"/>
      <c r="U42" s="71"/>
      <c r="V42" s="15"/>
      <c r="W42" s="72"/>
      <c r="X42" s="105"/>
      <c r="Y42" s="961"/>
      <c r="Z42" s="151">
        <f>SUM(Z13,Z18,Z24,Z41)</f>
        <v>16797.496999999999</v>
      </c>
      <c r="AA42" s="152">
        <f>SUM(AA13,AA18,AA24,AA41)</f>
        <v>1200.67</v>
      </c>
      <c r="AB42" s="129">
        <f>SUM(AB13,AB18,AB24,AB41)</f>
        <v>17998.167000000001</v>
      </c>
      <c r="AC42" s="891">
        <f t="shared" ref="AC42" si="27">IF(Z42&gt;0,(J42-Z42)/Z42,"")</f>
        <v>-1.0795775108636755E-2</v>
      </c>
      <c r="AD42" s="895">
        <f t="shared" ref="AD42" si="28">IF(AA42&gt;0,(M42-AA42)/AA42,"")</f>
        <v>-0.37596508616022722</v>
      </c>
      <c r="AE42" s="892">
        <f t="shared" ref="AE42" si="29">IF(AB42&gt;0,(P42-AB42)/AB42,"")</f>
        <v>-3.5156468989314321E-2</v>
      </c>
      <c r="AF42" s="962"/>
      <c r="AG42" s="906"/>
      <c r="AH42" s="953">
        <f>SUM(AH13,AH18,AH24,AH41)</f>
        <v>16820.684000000001</v>
      </c>
      <c r="AI42" s="954">
        <f>SUM(AI13,AI18,AI24,AI41)</f>
        <v>1023.9280000000001</v>
      </c>
      <c r="AJ42" s="915">
        <f>SUM(AJ13,AJ18,AJ24,AJ41)</f>
        <v>17844.612000000001</v>
      </c>
      <c r="AK42" s="940">
        <f>IF(AH42&gt;0,(J42-AH42)/AH42,"")</f>
        <v>-1.2159374731729237E-2</v>
      </c>
      <c r="AL42" s="941">
        <f>IF(AI42&gt;0,(M42-AI42)/AI42,"")</f>
        <v>-0.26824933003101792</v>
      </c>
      <c r="AM42" s="942">
        <f>IF(AJ42&gt;0,(P42-AJ42)/AJ42,"")</f>
        <v>-2.6853876116779682E-2</v>
      </c>
      <c r="AN42" s="1143"/>
      <c r="AP42" s="988"/>
    </row>
    <row r="43" spans="1:42" hidden="1">
      <c r="A43" s="983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05"/>
      <c r="Y43" s="961"/>
      <c r="Z43" s="452">
        <f>VLOOKUP($AP44,Early_Stats_1213,VLOOKUP(Background!$C$2,Inst_Tables,14,FALSE),FALSE)</f>
        <v>16797.496999999999</v>
      </c>
      <c r="AA43" s="452">
        <f>VLOOKUP($AP44,Early_Stats_1213,VLOOKUP(Background!$C$2,Inst_Tables,15,FALSE),FALSE)</f>
        <v>1200.67</v>
      </c>
      <c r="AB43" s="452">
        <f>SUM(Z43:AA43)</f>
        <v>17998.167000000001</v>
      </c>
      <c r="AC43" s="168"/>
      <c r="AD43" s="168"/>
      <c r="AE43" s="168"/>
      <c r="AF43" s="962"/>
      <c r="AG43" s="906"/>
      <c r="AH43" s="955">
        <f>VLOOKUP($AP44,Final_Figures_1213,VLOOKUP(Background!$C$2,Inst_Tables,14,FALSE),FALSE)</f>
        <v>16820.684000000001</v>
      </c>
      <c r="AI43" s="955">
        <f>VLOOKUP($AP44,Final_Figures_1213,VLOOKUP(Background!$C$2,Inst_Tables,15,FALSE),FALSE)</f>
        <v>1023.9280000000001</v>
      </c>
      <c r="AJ43" s="955">
        <f>SUM(AH43:AI43)</f>
        <v>17844.612000000001</v>
      </c>
      <c r="AK43" s="906"/>
      <c r="AL43" s="906"/>
      <c r="AM43" s="906"/>
      <c r="AN43" s="1143"/>
      <c r="AP43" s="988"/>
    </row>
    <row r="44" spans="1:42" ht="24.95" customHeight="1">
      <c r="A44" s="1131"/>
      <c r="B44" s="987" t="s">
        <v>393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05"/>
      <c r="Y44" s="961"/>
      <c r="Z44" s="1157"/>
      <c r="AA44" s="1157"/>
      <c r="AB44" s="1157"/>
      <c r="AC44" s="1157"/>
      <c r="AD44" s="1157"/>
      <c r="AE44" s="1157"/>
      <c r="AF44" s="1158"/>
      <c r="AG44" s="1155"/>
      <c r="AH44" s="1155"/>
      <c r="AI44" s="1155"/>
      <c r="AJ44" s="1155"/>
      <c r="AK44" s="906"/>
      <c r="AL44" s="906"/>
      <c r="AM44" s="906"/>
      <c r="AN44" s="1143"/>
      <c r="AP44" s="995">
        <v>18</v>
      </c>
    </row>
    <row r="45" spans="1:42" ht="21.95" customHeight="1">
      <c r="A45" s="1131"/>
      <c r="B45" s="987" t="s">
        <v>394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05"/>
      <c r="Y45" s="961"/>
      <c r="Z45" s="452"/>
      <c r="AA45" s="452"/>
      <c r="AB45" s="452"/>
      <c r="AC45" s="168"/>
      <c r="AD45" s="168"/>
      <c r="AE45" s="168"/>
      <c r="AF45" s="962"/>
      <c r="AG45" s="906"/>
      <c r="AH45" s="955"/>
      <c r="AI45" s="955"/>
      <c r="AJ45" s="955"/>
      <c r="AK45" s="906"/>
      <c r="AL45" s="906"/>
      <c r="AM45" s="906"/>
      <c r="AN45" s="1143"/>
      <c r="AP45" s="995"/>
    </row>
    <row r="46" spans="1:42" ht="24.95" customHeight="1">
      <c r="A46" s="981"/>
      <c r="B46" s="15" t="s">
        <v>131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05"/>
      <c r="Y46" s="961"/>
      <c r="Z46" s="1156"/>
      <c r="AA46" s="179"/>
      <c r="AB46" s="179"/>
      <c r="AC46" s="168"/>
      <c r="AD46" s="168"/>
      <c r="AE46" s="168"/>
      <c r="AF46" s="962"/>
      <c r="AG46" s="906"/>
      <c r="AH46" s="906"/>
      <c r="AI46" s="906"/>
      <c r="AJ46" s="906"/>
      <c r="AK46" s="906"/>
      <c r="AL46" s="906"/>
      <c r="AM46" s="906"/>
      <c r="AN46" s="1143"/>
    </row>
    <row r="47" spans="1:42" ht="24.95" customHeight="1">
      <c r="A47" s="984"/>
      <c r="B47" s="1132" t="s">
        <v>406</v>
      </c>
      <c r="C47" s="1132"/>
      <c r="D47" s="1132"/>
      <c r="E47" s="1132"/>
      <c r="F47" s="1132"/>
      <c r="G47" s="1132"/>
      <c r="H47" s="1132"/>
      <c r="I47" s="1132"/>
      <c r="J47" s="1132"/>
      <c r="K47" s="1132"/>
      <c r="L47" s="1132"/>
      <c r="M47" s="1132"/>
      <c r="N47" s="1132"/>
      <c r="O47" s="1132"/>
      <c r="P47" s="1132"/>
      <c r="Q47" s="1132"/>
      <c r="R47" s="1132"/>
      <c r="S47" s="1132"/>
      <c r="T47" s="1132"/>
      <c r="U47" s="1132"/>
      <c r="V47" s="1132"/>
      <c r="W47" s="1132"/>
      <c r="X47" s="1133"/>
      <c r="Y47" s="1134"/>
      <c r="Z47" s="1135"/>
      <c r="AA47" s="1135"/>
      <c r="AB47" s="1135"/>
      <c r="AC47" s="1135"/>
      <c r="AD47" s="1135"/>
      <c r="AE47" s="1135"/>
      <c r="AF47" s="1136"/>
      <c r="AG47" s="1137"/>
      <c r="AH47" s="1137"/>
      <c r="AI47" s="1137"/>
      <c r="AJ47" s="1137"/>
      <c r="AK47" s="1137"/>
      <c r="AL47" s="1137"/>
      <c r="AM47" s="1137"/>
      <c r="AN47" s="1144"/>
    </row>
    <row r="48" spans="1:42">
      <c r="A48" s="1152"/>
      <c r="B48" s="1152"/>
      <c r="C48" s="1152"/>
      <c r="D48" s="1152"/>
      <c r="E48" s="1152"/>
      <c r="F48" s="1152"/>
      <c r="G48" s="1152"/>
      <c r="H48" s="1152"/>
      <c r="I48" s="1152"/>
      <c r="J48" s="1152"/>
      <c r="K48" s="1152"/>
      <c r="L48" s="1152"/>
      <c r="M48" s="1152"/>
      <c r="N48" s="1152"/>
      <c r="O48" s="1152"/>
      <c r="P48" s="1152"/>
      <c r="Q48" s="1152"/>
      <c r="R48" s="1153"/>
      <c r="S48" s="1152"/>
      <c r="T48" s="1152"/>
      <c r="U48" s="1152"/>
      <c r="V48" s="1152"/>
      <c r="W48" s="1152"/>
      <c r="X48" s="1152"/>
      <c r="Y48" s="1154"/>
      <c r="Z48" s="1154"/>
      <c r="AA48" s="1154"/>
      <c r="AB48" s="1154"/>
      <c r="AC48" s="1154"/>
      <c r="AD48" s="1154"/>
      <c r="AE48" s="1154"/>
      <c r="AF48" s="1154"/>
      <c r="AG48" s="1155"/>
      <c r="AH48" s="1155"/>
      <c r="AI48" s="1155"/>
      <c r="AJ48" s="1155"/>
      <c r="AK48" s="1155"/>
      <c r="AL48" s="1155"/>
      <c r="AM48" s="1155"/>
      <c r="AN48" s="1155"/>
    </row>
    <row r="50" ht="18.75" customHeight="1"/>
  </sheetData>
  <sheetProtection password="E23E" sheet="1" objects="1" scenarios="1"/>
  <mergeCells count="29">
    <mergeCell ref="B3:E3"/>
    <mergeCell ref="Z7:Z9"/>
    <mergeCell ref="AA7:AA9"/>
    <mergeCell ref="Z6:AB6"/>
    <mergeCell ref="W6:W9"/>
    <mergeCell ref="B7:J7"/>
    <mergeCell ref="K7:M7"/>
    <mergeCell ref="Z4:AE4"/>
    <mergeCell ref="AP6:AP9"/>
    <mergeCell ref="AC6:AE6"/>
    <mergeCell ref="AC7:AC9"/>
    <mergeCell ref="AD7:AD9"/>
    <mergeCell ref="K8:K9"/>
    <mergeCell ref="N8:N9"/>
    <mergeCell ref="S8:S9"/>
    <mergeCell ref="AH6:AJ6"/>
    <mergeCell ref="AK6:AM6"/>
    <mergeCell ref="AH7:AH9"/>
    <mergeCell ref="AI7:AI9"/>
    <mergeCell ref="AK7:AK9"/>
    <mergeCell ref="AL7:AL9"/>
    <mergeCell ref="AH4:AM4"/>
    <mergeCell ref="B6:Q6"/>
    <mergeCell ref="B8:D8"/>
    <mergeCell ref="E8:G8"/>
    <mergeCell ref="H8:J8"/>
    <mergeCell ref="S6:U7"/>
    <mergeCell ref="N7:Q7"/>
    <mergeCell ref="Q8:Q9"/>
  </mergeCells>
  <dataValidations count="1">
    <dataValidation allowBlank="1" sqref="A6 J1:J3 L8:M13 Z1:Z4 AO1:EB3 A9 S1:U3 V7:V12 V1:V4 R13:V42 T4:U5 B6:B12 J4:M4 L1:M3 J5:R5 C9:D12 N1:O4 I9:J12 F9:G12 N13:Q41 N10:N12 W10:W42 K42:Q42 X7:X42 V5:X6 X1:X4 Y1:Y42 S4:S6 AA7:AB7 AP10:AP12 Z6:Z7 A13:J42 AO4:DY6 E8:E12 Z10:AE42 K14:M41 K10:K13 Q10:Q12 S8 AO7:AO42 AQ7:DZ42 T8:U11 AC6:AC7 AC5:AE5 AD7:AE7 K7:K8 AH4 N7:N8 AF4:AG42 AN4:AN42 AL7:AM7 H8:H12 AI7:AJ7 AH6:AH7 AH10:AM42 AK6:AK7 AH5:AM5 O8:P12 R8:R12 S12:U12 S10:S11 Z43:AA43 Z45:AA45 AH43:AI43 AH45:AI45"/>
  </dataValidations>
  <pageMargins left="0.15748031496062992" right="0.15748031496062992" top="0.15748031496062992" bottom="0.15748031496062992" header="0.15748031496062992" footer="0.15748031496062992"/>
  <pageSetup paperSize="9" scale="39" fitToWidth="2" orientation="landscape" r:id="rId1"/>
  <headerFooter alignWithMargins="0"/>
  <colBreaks count="1" manualBreakCount="1">
    <brk id="24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1"/>
  <sheetViews>
    <sheetView zoomScale="75" zoomScaleNormal="75" workbookViewId="0"/>
  </sheetViews>
  <sheetFormatPr defaultRowHeight="12.75"/>
  <cols>
    <col min="1" max="1" width="47.5703125" style="996" customWidth="1"/>
    <col min="2" max="3" width="13.7109375" style="996" customWidth="1"/>
    <col min="4" max="4" width="14.7109375" style="996" customWidth="1"/>
    <col min="5" max="10" width="13.7109375" style="996" customWidth="1"/>
    <col min="11" max="11" width="14.7109375" style="996" customWidth="1"/>
    <col min="12" max="12" width="4.7109375" style="1007" customWidth="1"/>
    <col min="13" max="13" width="25.28515625" style="996" customWidth="1"/>
    <col min="14" max="14" width="34.42578125" style="996" customWidth="1"/>
    <col min="15" max="15" width="14.7109375" style="996" customWidth="1"/>
    <col min="16" max="16" width="33" style="996" customWidth="1"/>
    <col min="17" max="17" width="6" style="996" customWidth="1"/>
    <col min="18" max="18" width="10.5703125" style="996" customWidth="1"/>
    <col min="19" max="26" width="11.7109375" style="996" hidden="1" customWidth="1"/>
    <col min="27" max="27" width="9.140625" style="996" hidden="1" customWidth="1"/>
    <col min="28" max="28" width="11.7109375" style="996" hidden="1" customWidth="1"/>
    <col min="29" max="29" width="9.140625" style="996" hidden="1" customWidth="1"/>
    <col min="30" max="16384" width="9.140625" style="996"/>
  </cols>
  <sheetData>
    <row r="1" spans="1:30" ht="50.1" customHeight="1">
      <c r="A1" s="271" t="str">
        <f>IF(G4=0,"Your Institution Does Not Complete This Table","")</f>
        <v/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315"/>
      <c r="M1" s="256"/>
      <c r="N1" s="256"/>
      <c r="O1" s="256"/>
      <c r="P1" s="256"/>
      <c r="Q1" s="256"/>
    </row>
    <row r="2" spans="1:30" ht="30" customHeight="1">
      <c r="A2" s="626" t="s">
        <v>261</v>
      </c>
      <c r="B2" s="281"/>
      <c r="C2" s="281"/>
      <c r="D2" s="281"/>
      <c r="E2" s="281"/>
      <c r="F2" s="281"/>
      <c r="G2" s="281"/>
      <c r="H2" s="281"/>
      <c r="I2" s="281"/>
      <c r="J2" s="281"/>
      <c r="K2" s="316"/>
      <c r="L2" s="282"/>
      <c r="M2" s="9"/>
      <c r="N2" s="9"/>
      <c r="O2" s="9"/>
      <c r="P2" s="9"/>
      <c r="Q2" s="9"/>
    </row>
    <row r="3" spans="1:30" ht="15" customHeight="1">
      <c r="A3" s="283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5"/>
      <c r="M3" s="9"/>
      <c r="N3" s="9"/>
      <c r="O3" s="9"/>
      <c r="P3" s="9"/>
      <c r="Q3" s="9"/>
    </row>
    <row r="4" spans="1:30" ht="35.1" customHeight="1">
      <c r="A4" s="1119" t="s">
        <v>0</v>
      </c>
      <c r="B4" s="1241" t="str">
        <f>Background!$D$2</f>
        <v>Glasgow, University of</v>
      </c>
      <c r="C4" s="1242"/>
      <c r="D4" s="1242"/>
      <c r="E4" s="1242"/>
      <c r="F4" s="1243"/>
      <c r="G4" s="272">
        <f>VLOOKUP(Background!$C$2,Inst_Tables,3,FALSE)</f>
        <v>1</v>
      </c>
      <c r="H4" s="284"/>
      <c r="I4" s="284"/>
      <c r="J4" s="284"/>
      <c r="K4" s="284"/>
      <c r="L4" s="285"/>
      <c r="M4" s="9"/>
      <c r="N4" s="9"/>
      <c r="O4" s="9"/>
      <c r="P4" s="9"/>
      <c r="Q4" s="9"/>
    </row>
    <row r="5" spans="1:30" ht="35.1" customHeight="1">
      <c r="A5" s="623" t="s">
        <v>262</v>
      </c>
      <c r="B5" s="249"/>
      <c r="C5" s="249"/>
      <c r="D5" s="185"/>
      <c r="E5" s="286"/>
      <c r="F5" s="286"/>
      <c r="G5" s="284"/>
      <c r="H5" s="284"/>
      <c r="I5" s="284"/>
      <c r="J5" s="284"/>
      <c r="K5" s="284"/>
      <c r="L5" s="285"/>
      <c r="M5" s="9"/>
      <c r="N5" s="9"/>
      <c r="O5" s="9"/>
      <c r="P5" s="9"/>
      <c r="Q5" s="9"/>
    </row>
    <row r="6" spans="1:30" ht="30" customHeight="1">
      <c r="A6" s="273" t="s">
        <v>395</v>
      </c>
      <c r="B6" s="249"/>
      <c r="C6" s="249"/>
      <c r="D6" s="185"/>
      <c r="E6" s="286"/>
      <c r="F6" s="286"/>
      <c r="G6" s="284"/>
      <c r="H6" s="284"/>
      <c r="I6" s="284"/>
      <c r="J6" s="284"/>
      <c r="K6" s="284"/>
      <c r="L6" s="285"/>
      <c r="M6" s="9"/>
      <c r="N6" s="9"/>
      <c r="O6" s="9"/>
      <c r="P6" s="9"/>
      <c r="Q6" s="9"/>
    </row>
    <row r="7" spans="1:30" ht="15" customHeight="1" thickBot="1">
      <c r="A7" s="1120"/>
      <c r="B7" s="284"/>
      <c r="C7" s="284"/>
      <c r="D7" s="284"/>
      <c r="E7" s="284"/>
      <c r="F7" s="284"/>
      <c r="G7" s="284"/>
      <c r="H7" s="284"/>
      <c r="I7" s="284"/>
      <c r="J7" s="284"/>
      <c r="K7" s="284"/>
      <c r="L7" s="285"/>
      <c r="M7" s="9"/>
      <c r="N7" s="9"/>
      <c r="O7" s="9"/>
      <c r="P7" s="9"/>
      <c r="Q7" s="9"/>
    </row>
    <row r="8" spans="1:30" ht="45" customHeight="1">
      <c r="A8" s="274"/>
      <c r="B8" s="1244" t="s">
        <v>243</v>
      </c>
      <c r="C8" s="1244"/>
      <c r="D8" s="1245"/>
      <c r="E8" s="1246" t="s">
        <v>45</v>
      </c>
      <c r="F8" s="1247"/>
      <c r="G8" s="1247"/>
      <c r="H8" s="1247"/>
      <c r="I8" s="1247"/>
      <c r="J8" s="1247"/>
      <c r="K8" s="1248"/>
      <c r="L8" s="285"/>
      <c r="M8" s="9"/>
      <c r="N8" s="9"/>
      <c r="O8" s="9"/>
      <c r="P8" s="9"/>
      <c r="Q8" s="9"/>
      <c r="S8" s="1227" t="s">
        <v>361</v>
      </c>
      <c r="T8" s="1227" t="s">
        <v>362</v>
      </c>
      <c r="U8" s="1227" t="s">
        <v>363</v>
      </c>
      <c r="V8" s="1227" t="s">
        <v>364</v>
      </c>
      <c r="W8" s="1227" t="s">
        <v>365</v>
      </c>
      <c r="X8" s="1227" t="s">
        <v>366</v>
      </c>
      <c r="Y8" s="1227" t="s">
        <v>367</v>
      </c>
      <c r="Z8" s="1227" t="s">
        <v>368</v>
      </c>
    </row>
    <row r="9" spans="1:30" ht="45" customHeight="1">
      <c r="A9" s="593"/>
      <c r="B9" s="1234" t="s">
        <v>108</v>
      </c>
      <c r="C9" s="1235" t="s">
        <v>242</v>
      </c>
      <c r="D9" s="1236" t="s">
        <v>245</v>
      </c>
      <c r="E9" s="1238" t="s">
        <v>114</v>
      </c>
      <c r="F9" s="1239"/>
      <c r="G9" s="1239"/>
      <c r="H9" s="1239"/>
      <c r="I9" s="1239"/>
      <c r="J9" s="1239"/>
      <c r="K9" s="1240"/>
      <c r="L9" s="285"/>
      <c r="M9" s="9"/>
      <c r="N9" s="9"/>
      <c r="O9" s="9"/>
      <c r="P9" s="9"/>
      <c r="Q9" s="9"/>
      <c r="S9" s="1227"/>
      <c r="T9" s="1227"/>
      <c r="U9" s="1227"/>
      <c r="V9" s="1227"/>
      <c r="W9" s="1227"/>
      <c r="X9" s="1227"/>
      <c r="Y9" s="1227"/>
      <c r="Z9" s="1227"/>
    </row>
    <row r="10" spans="1:30" ht="110.1" customHeight="1" thickBot="1">
      <c r="A10" s="594" t="s">
        <v>178</v>
      </c>
      <c r="B10" s="1235"/>
      <c r="C10" s="1235"/>
      <c r="D10" s="1237"/>
      <c r="E10" s="487">
        <v>0</v>
      </c>
      <c r="F10" s="487">
        <v>1</v>
      </c>
      <c r="G10" s="487" t="s">
        <v>28</v>
      </c>
      <c r="H10" s="487" t="s">
        <v>29</v>
      </c>
      <c r="I10" s="487" t="s">
        <v>30</v>
      </c>
      <c r="J10" s="488" t="s">
        <v>31</v>
      </c>
      <c r="K10" s="489" t="s">
        <v>327</v>
      </c>
      <c r="L10" s="287"/>
      <c r="M10" s="9"/>
      <c r="N10" s="9"/>
      <c r="O10" s="9"/>
      <c r="P10" s="9"/>
      <c r="Q10" s="9"/>
      <c r="S10" s="1227"/>
      <c r="T10" s="1227"/>
      <c r="U10" s="1227"/>
      <c r="V10" s="997"/>
      <c r="W10" s="1227"/>
      <c r="X10" s="1227"/>
      <c r="Y10" s="1227"/>
      <c r="Z10" s="1227"/>
      <c r="AC10" s="998" t="s">
        <v>104</v>
      </c>
      <c r="AD10" s="998"/>
    </row>
    <row r="11" spans="1:30" ht="30" customHeight="1" thickBot="1">
      <c r="A11" s="288"/>
      <c r="B11" s="535" t="s">
        <v>32</v>
      </c>
      <c r="C11" s="535" t="s">
        <v>32</v>
      </c>
      <c r="D11" s="535" t="s">
        <v>44</v>
      </c>
      <c r="E11" s="535" t="s">
        <v>32</v>
      </c>
      <c r="F11" s="535" t="s">
        <v>32</v>
      </c>
      <c r="G11" s="535" t="s">
        <v>32</v>
      </c>
      <c r="H11" s="535" t="s">
        <v>32</v>
      </c>
      <c r="I11" s="535" t="s">
        <v>32</v>
      </c>
      <c r="J11" s="536" t="s">
        <v>32</v>
      </c>
      <c r="K11" s="537" t="s">
        <v>32</v>
      </c>
      <c r="L11" s="287"/>
      <c r="M11" s="9"/>
      <c r="N11" s="9"/>
      <c r="O11" s="1228" t="s">
        <v>110</v>
      </c>
      <c r="P11" s="1229"/>
      <c r="Q11" s="9"/>
      <c r="S11" s="999" t="s">
        <v>103</v>
      </c>
      <c r="T11" s="999" t="s">
        <v>103</v>
      </c>
      <c r="U11" s="999" t="s">
        <v>103</v>
      </c>
      <c r="V11" s="999" t="s">
        <v>103</v>
      </c>
      <c r="W11" s="999" t="s">
        <v>103</v>
      </c>
      <c r="X11" s="999" t="s">
        <v>103</v>
      </c>
      <c r="Y11" s="999" t="s">
        <v>103</v>
      </c>
      <c r="Z11" s="1000"/>
      <c r="AC11" s="998" t="s">
        <v>382</v>
      </c>
    </row>
    <row r="12" spans="1:30" ht="30" customHeight="1" thickBot="1">
      <c r="A12" s="495"/>
      <c r="B12" s="538" t="s">
        <v>48</v>
      </c>
      <c r="C12" s="538" t="s">
        <v>48</v>
      </c>
      <c r="D12" s="539" t="s">
        <v>48</v>
      </c>
      <c r="E12" s="539" t="s">
        <v>48</v>
      </c>
      <c r="F12" s="539" t="s">
        <v>48</v>
      </c>
      <c r="G12" s="539" t="s">
        <v>48</v>
      </c>
      <c r="H12" s="539" t="s">
        <v>48</v>
      </c>
      <c r="I12" s="539" t="s">
        <v>48</v>
      </c>
      <c r="J12" s="539" t="s">
        <v>48</v>
      </c>
      <c r="K12" s="540" t="s">
        <v>3</v>
      </c>
      <c r="L12" s="8"/>
      <c r="M12" s="1219" t="s">
        <v>377</v>
      </c>
      <c r="N12" s="1221" t="s">
        <v>376</v>
      </c>
      <c r="O12" s="1230" t="s">
        <v>106</v>
      </c>
      <c r="P12" s="1232" t="s">
        <v>111</v>
      </c>
      <c r="Q12" s="11"/>
      <c r="S12" s="1000"/>
      <c r="T12" s="1000"/>
      <c r="U12" s="1000"/>
      <c r="V12" s="1000"/>
      <c r="W12" s="1000"/>
      <c r="X12" s="1000"/>
      <c r="Y12" s="1000"/>
      <c r="Z12" s="1000"/>
      <c r="AC12" s="998" t="s">
        <v>109</v>
      </c>
    </row>
    <row r="13" spans="1:30" ht="24.95" customHeight="1" thickBot="1">
      <c r="A13" s="498" t="s">
        <v>33</v>
      </c>
      <c r="B13" s="8"/>
      <c r="C13" s="8"/>
      <c r="D13" s="291"/>
      <c r="E13" s="266"/>
      <c r="F13" s="266"/>
      <c r="G13" s="266"/>
      <c r="H13" s="266"/>
      <c r="I13" s="266"/>
      <c r="J13" s="266"/>
      <c r="K13" s="290"/>
      <c r="L13" s="8"/>
      <c r="M13" s="1220"/>
      <c r="N13" s="1222"/>
      <c r="O13" s="1231"/>
      <c r="P13" s="1233"/>
      <c r="Q13" s="11"/>
      <c r="S13" s="1000"/>
      <c r="T13" s="1000"/>
      <c r="U13" s="1000"/>
      <c r="V13" s="1000"/>
      <c r="W13" s="1000"/>
      <c r="X13" s="1000"/>
      <c r="Y13" s="1000"/>
      <c r="Z13" s="1000"/>
      <c r="AC13" s="998" t="s">
        <v>381</v>
      </c>
    </row>
    <row r="14" spans="1:30" ht="30" customHeight="1">
      <c r="A14" s="275" t="s">
        <v>157</v>
      </c>
      <c r="B14" s="8"/>
      <c r="C14" s="8"/>
      <c r="D14" s="291"/>
      <c r="E14" s="266"/>
      <c r="F14" s="266"/>
      <c r="G14" s="266"/>
      <c r="H14" s="266"/>
      <c r="I14" s="266"/>
      <c r="J14" s="266"/>
      <c r="K14" s="290"/>
      <c r="L14" s="8"/>
      <c r="M14" s="580"/>
      <c r="N14" s="369"/>
      <c r="O14" s="369"/>
      <c r="P14" s="592"/>
      <c r="Q14" s="11"/>
      <c r="S14" s="1000"/>
      <c r="T14" s="1000"/>
      <c r="U14" s="1000"/>
      <c r="V14" s="1000"/>
      <c r="W14" s="1000"/>
      <c r="X14" s="1000"/>
      <c r="Y14" s="1000"/>
      <c r="Z14" s="1000"/>
      <c r="AC14" s="998"/>
    </row>
    <row r="15" spans="1:30" ht="24.95" customHeight="1">
      <c r="A15" s="276" t="s">
        <v>64</v>
      </c>
      <c r="B15" s="304">
        <v>167</v>
      </c>
      <c r="C15" s="304">
        <v>8</v>
      </c>
      <c r="D15" s="305">
        <v>11</v>
      </c>
      <c r="E15" s="555"/>
      <c r="F15" s="305">
        <v>167</v>
      </c>
      <c r="G15" s="556"/>
      <c r="H15" s="499"/>
      <c r="I15" s="499"/>
      <c r="J15" s="557"/>
      <c r="K15" s="311">
        <f>SUM(F15)</f>
        <v>167</v>
      </c>
      <c r="L15" s="567"/>
      <c r="M15" s="581" t="str">
        <f>IF(S15=1,Only_intake_recorded,IF(OR(T15=1,Y15=1),Intake_missing,"OK"))</f>
        <v>OK</v>
      </c>
      <c r="N15" s="359" t="str">
        <f>IF(OR(U15=1,X15=1),Intake_inconsistent,"OK")</f>
        <v>OK</v>
      </c>
      <c r="O15" s="566">
        <f>K15-Z15</f>
        <v>0</v>
      </c>
      <c r="P15" s="583" t="str">
        <f>IF(ABS(O15)&gt;0.1,"Does not equal figure in Table 1","OK")</f>
        <v>OK</v>
      </c>
      <c r="Q15" s="9"/>
      <c r="S15" s="1001">
        <f>IF(AND(B15&gt;0,K15=0),1,0)</f>
        <v>0</v>
      </c>
      <c r="T15" s="1001">
        <f>IF(AND(B15=0,K15&gt;0),1,0)</f>
        <v>0</v>
      </c>
      <c r="U15" s="999">
        <f>IF(B15&gt;K15,1,0)</f>
        <v>0</v>
      </c>
      <c r="V15" s="999">
        <f>IF(SUM(G15:J15)&gt;0,1,0)</f>
        <v>0</v>
      </c>
      <c r="W15" s="999">
        <f>IF(B15=K15,1,0)</f>
        <v>1</v>
      </c>
      <c r="X15" s="999">
        <f>V15*W15</f>
        <v>0</v>
      </c>
      <c r="Y15" s="1001">
        <f>IF(AND(B15=0,D15&gt;0),1,0)</f>
        <v>0</v>
      </c>
      <c r="Z15" s="1002">
        <f>'Table 1'!$J$21</f>
        <v>167</v>
      </c>
      <c r="AA15" s="998"/>
    </row>
    <row r="16" spans="1:30" ht="24.95" customHeight="1">
      <c r="A16" s="276" t="s">
        <v>49</v>
      </c>
      <c r="B16" s="304"/>
      <c r="C16" s="304"/>
      <c r="D16" s="305"/>
      <c r="E16" s="555"/>
      <c r="F16" s="305"/>
      <c r="G16" s="305"/>
      <c r="H16" s="499"/>
      <c r="I16" s="499"/>
      <c r="J16" s="557"/>
      <c r="K16" s="311">
        <f>SUM(F16:G16)</f>
        <v>0</v>
      </c>
      <c r="L16" s="567"/>
      <c r="M16" s="581" t="str">
        <f>IF(S16=1,Only_intake_recorded,IF(OR(T16=1,Y16=1),Intake_missing,"OK"))</f>
        <v>OK</v>
      </c>
      <c r="N16" s="359" t="str">
        <f>IF(OR(U16=1,X16=1),Intake_inconsistent,"OK")</f>
        <v>OK</v>
      </c>
      <c r="O16" s="566">
        <f>K16-Z16</f>
        <v>0</v>
      </c>
      <c r="P16" s="583" t="str">
        <f>IF(ABS(O16)&gt;0.1,"Does not equal figure in Table 1","OK")</f>
        <v>OK</v>
      </c>
      <c r="Q16" s="9"/>
      <c r="S16" s="1001">
        <f>IF(AND(B16&gt;0,K16=0),1,0)</f>
        <v>0</v>
      </c>
      <c r="T16" s="1001">
        <f>IF(AND(B16=0,K16&gt;0),1,0)</f>
        <v>0</v>
      </c>
      <c r="U16" s="999">
        <f>IF(B16&gt;K16,1,0)</f>
        <v>0</v>
      </c>
      <c r="V16" s="999">
        <f>IF(SUM(G16:J16)&gt;0,1,0)</f>
        <v>0</v>
      </c>
      <c r="W16" s="999">
        <f>IF(B16=K16,1,0)</f>
        <v>1</v>
      </c>
      <c r="X16" s="999">
        <f>V16*W16</f>
        <v>0</v>
      </c>
      <c r="Y16" s="1001">
        <f>IF(AND(B16=0,D16&gt;0),1,0)</f>
        <v>0</v>
      </c>
      <c r="Z16" s="1002">
        <f>'Table 1'!$M$21</f>
        <v>0</v>
      </c>
    </row>
    <row r="17" spans="1:26" ht="24.95" customHeight="1">
      <c r="A17" s="277" t="s">
        <v>2</v>
      </c>
      <c r="B17" s="310">
        <f>SUM(B15:B16)</f>
        <v>167</v>
      </c>
      <c r="C17" s="310">
        <f>SUM(C15:C16)</f>
        <v>8</v>
      </c>
      <c r="D17" s="310">
        <f>SUM(D15:D16)</f>
        <v>11</v>
      </c>
      <c r="E17" s="558"/>
      <c r="F17" s="314">
        <f>SUM(F15:F16)</f>
        <v>167</v>
      </c>
      <c r="G17" s="310">
        <f>SUM(G15:G16)</f>
        <v>0</v>
      </c>
      <c r="H17" s="499"/>
      <c r="I17" s="499"/>
      <c r="J17" s="557"/>
      <c r="K17" s="311">
        <f>SUM(F17:G17)</f>
        <v>167</v>
      </c>
      <c r="L17" s="567"/>
      <c r="M17" s="571"/>
      <c r="N17" s="585"/>
      <c r="O17" s="586"/>
      <c r="P17" s="572"/>
      <c r="Q17" s="9"/>
      <c r="S17" s="999"/>
      <c r="T17" s="999"/>
      <c r="U17" s="999"/>
      <c r="V17" s="999"/>
      <c r="W17" s="999"/>
      <c r="X17" s="999"/>
      <c r="Y17" s="999"/>
      <c r="Z17" s="1002"/>
    </row>
    <row r="18" spans="1:26" ht="9.9499999999999993" customHeight="1">
      <c r="A18" s="278"/>
      <c r="B18" s="292"/>
      <c r="C18" s="292"/>
      <c r="D18" s="293"/>
      <c r="E18" s="292"/>
      <c r="F18" s="292"/>
      <c r="G18" s="292"/>
      <c r="H18" s="292"/>
      <c r="I18" s="292"/>
      <c r="J18" s="292"/>
      <c r="K18" s="294"/>
      <c r="L18" s="262"/>
      <c r="M18" s="573"/>
      <c r="N18" s="587"/>
      <c r="O18" s="588"/>
      <c r="P18" s="574"/>
      <c r="Q18" s="9"/>
      <c r="S18" s="999"/>
      <c r="T18" s="999"/>
      <c r="U18" s="999"/>
      <c r="V18" s="999"/>
      <c r="W18" s="999"/>
      <c r="X18" s="999"/>
      <c r="Y18" s="999"/>
      <c r="Z18" s="1002"/>
    </row>
    <row r="19" spans="1:26" ht="24.95" customHeight="1" thickBot="1">
      <c r="A19" s="275" t="s">
        <v>134</v>
      </c>
      <c r="B19" s="306">
        <v>176</v>
      </c>
      <c r="C19" s="306">
        <v>2</v>
      </c>
      <c r="D19" s="307"/>
      <c r="E19" s="306"/>
      <c r="F19" s="307">
        <v>177</v>
      </c>
      <c r="G19" s="307">
        <v>144</v>
      </c>
      <c r="H19" s="307">
        <v>144</v>
      </c>
      <c r="I19" s="307">
        <v>125.4</v>
      </c>
      <c r="J19" s="292"/>
      <c r="K19" s="312">
        <f>SUM(E19:I19)</f>
        <v>590.4</v>
      </c>
      <c r="L19" s="567"/>
      <c r="M19" s="581" t="str">
        <f>IF(S19=1,Only_intake_recorded,IF(OR(T19=1,Y19=1),Intake_missing,"OK"))</f>
        <v>OK</v>
      </c>
      <c r="N19" s="359" t="str">
        <f>IF(OR(U19=1,X19=1),Intake_inconsistent,"OK")</f>
        <v>OK</v>
      </c>
      <c r="O19" s="566">
        <f>K19-Z19</f>
        <v>0</v>
      </c>
      <c r="P19" s="583" t="str">
        <f>IF(ABS(O19)&gt;0.1,"Does not equal figure in Table 1","OK")</f>
        <v>OK</v>
      </c>
      <c r="Q19" s="9"/>
      <c r="S19" s="1001">
        <f>IF(AND(B19&gt;0,K19=0),1,0)</f>
        <v>0</v>
      </c>
      <c r="T19" s="1001">
        <f>IF(AND(B19=0,K19&gt;0),1,0)</f>
        <v>0</v>
      </c>
      <c r="U19" s="999">
        <f>IF(B19&gt;K19,1,0)</f>
        <v>0</v>
      </c>
      <c r="V19" s="999">
        <f>IF(SUM(G19:J19)&gt;0,1,0)</f>
        <v>1</v>
      </c>
      <c r="W19" s="999">
        <f>IF(B19=K19,1,0)</f>
        <v>0</v>
      </c>
      <c r="X19" s="999">
        <f>V19*W19</f>
        <v>0</v>
      </c>
      <c r="Y19" s="1001">
        <f>IF(AND(B19=0,D19&gt;0),1,0)</f>
        <v>0</v>
      </c>
      <c r="Z19" s="1002">
        <f>'Table 1'!$P$33</f>
        <v>590.4</v>
      </c>
    </row>
    <row r="20" spans="1:26" ht="24.95" customHeight="1">
      <c r="A20" s="561" t="s">
        <v>34</v>
      </c>
      <c r="B20" s="562"/>
      <c r="C20" s="562"/>
      <c r="D20" s="563"/>
      <c r="E20" s="562"/>
      <c r="F20" s="562"/>
      <c r="G20" s="562"/>
      <c r="H20" s="562"/>
      <c r="I20" s="562"/>
      <c r="J20" s="562"/>
      <c r="K20" s="564"/>
      <c r="L20" s="8"/>
      <c r="M20" s="575"/>
      <c r="N20" s="589"/>
      <c r="O20" s="590"/>
      <c r="P20" s="576"/>
      <c r="Q20" s="9"/>
      <c r="S20" s="999"/>
      <c r="T20" s="999"/>
      <c r="U20" s="999"/>
      <c r="V20" s="999"/>
      <c r="W20" s="999"/>
      <c r="X20" s="999"/>
      <c r="Y20" s="999"/>
      <c r="Z20" s="1002"/>
    </row>
    <row r="21" spans="1:26" ht="30" customHeight="1">
      <c r="A21" s="275" t="s">
        <v>158</v>
      </c>
      <c r="B21" s="292"/>
      <c r="C21" s="292"/>
      <c r="D21" s="293"/>
      <c r="E21" s="292"/>
      <c r="F21" s="292"/>
      <c r="G21" s="292"/>
      <c r="H21" s="292"/>
      <c r="I21" s="292"/>
      <c r="J21" s="292"/>
      <c r="K21" s="294"/>
      <c r="L21" s="8"/>
      <c r="M21" s="575"/>
      <c r="N21" s="589"/>
      <c r="O21" s="590"/>
      <c r="P21" s="576"/>
      <c r="Q21" s="9"/>
      <c r="S21" s="999"/>
      <c r="T21" s="999"/>
      <c r="U21" s="999"/>
      <c r="V21" s="999"/>
      <c r="W21" s="999"/>
      <c r="X21" s="999"/>
      <c r="Y21" s="999"/>
      <c r="Z21" s="1002"/>
    </row>
    <row r="22" spans="1:26" ht="24.95" customHeight="1">
      <c r="A22" s="276" t="s">
        <v>64</v>
      </c>
      <c r="B22" s="304">
        <v>145</v>
      </c>
      <c r="C22" s="304">
        <v>4</v>
      </c>
      <c r="D22" s="305">
        <v>2</v>
      </c>
      <c r="E22" s="555"/>
      <c r="F22" s="305">
        <v>145</v>
      </c>
      <c r="G22" s="499"/>
      <c r="H22" s="499"/>
      <c r="I22" s="499"/>
      <c r="J22" s="499"/>
      <c r="K22" s="311">
        <f>SUM(F22)</f>
        <v>145</v>
      </c>
      <c r="L22" s="567"/>
      <c r="M22" s="581" t="str">
        <f>IF(S22=1,Only_intake_recorded,IF(OR(T22=1,Y22=1),Intake_missing,"OK"))</f>
        <v>OK</v>
      </c>
      <c r="N22" s="359" t="str">
        <f>IF(OR(U22=1,X22=1),Intake_inconsistent,"OK")</f>
        <v>OK</v>
      </c>
      <c r="O22" s="566">
        <f>K22-Z22</f>
        <v>0</v>
      </c>
      <c r="P22" s="583" t="str">
        <f>IF(ABS(O22)&gt;0.1,"Does not equal figure in Table 1","OK")</f>
        <v>OK</v>
      </c>
      <c r="Q22" s="9"/>
      <c r="S22" s="1001">
        <f>IF(AND(B22&gt;0,K22=0),1,0)</f>
        <v>0</v>
      </c>
      <c r="T22" s="1001">
        <f>IF(AND(B22=0,K22&gt;0),1,0)</f>
        <v>0</v>
      </c>
      <c r="U22" s="999">
        <f>IF(B22&gt;K22,1,0)</f>
        <v>0</v>
      </c>
      <c r="V22" s="999">
        <f>IF(SUM(G22:J22)&gt;0,1,0)</f>
        <v>0</v>
      </c>
      <c r="W22" s="999">
        <f>IF(B22=K22,1,0)</f>
        <v>1</v>
      </c>
      <c r="X22" s="999">
        <f>V22*W22</f>
        <v>0</v>
      </c>
      <c r="Y22" s="1001">
        <f>IF(AND(B22=0,D22&gt;0),1,0)</f>
        <v>0</v>
      </c>
      <c r="Z22" s="1002">
        <f>'Table 1'!$J$22</f>
        <v>145</v>
      </c>
    </row>
    <row r="23" spans="1:26" ht="24.95" customHeight="1" thickBot="1">
      <c r="A23" s="276" t="s">
        <v>49</v>
      </c>
      <c r="B23" s="304">
        <v>3</v>
      </c>
      <c r="C23" s="304"/>
      <c r="D23" s="305"/>
      <c r="E23" s="555"/>
      <c r="F23" s="305">
        <v>3</v>
      </c>
      <c r="G23" s="305"/>
      <c r="H23" s="499"/>
      <c r="I23" s="499"/>
      <c r="J23" s="499"/>
      <c r="K23" s="311">
        <f>SUM(F23:G23)</f>
        <v>3</v>
      </c>
      <c r="L23" s="567"/>
      <c r="M23" s="582" t="str">
        <f>IF(S23=1,Only_intake_recorded,IF(OR(T23=1,Y23=1),Intake_missing,"OK"))</f>
        <v>OK</v>
      </c>
      <c r="N23" s="591" t="str">
        <f>IF(OR(U23=1,X23=1),Intake_inconsistent,"OK")</f>
        <v>OK</v>
      </c>
      <c r="O23" s="579">
        <f>K23-Z23</f>
        <v>0</v>
      </c>
      <c r="P23" s="584" t="str">
        <f>IF(ABS(O23)&gt;0.1,"Does not equal figure in Table 1","OK")</f>
        <v>OK</v>
      </c>
      <c r="Q23" s="9"/>
      <c r="S23" s="1001">
        <f>IF(AND(B23&gt;0,K23=0),1,0)</f>
        <v>0</v>
      </c>
      <c r="T23" s="1001">
        <f>IF(AND(B23=0,K23&gt;0),1,0)</f>
        <v>0</v>
      </c>
      <c r="U23" s="999">
        <f>IF(B23&gt;K23,1,0)</f>
        <v>0</v>
      </c>
      <c r="V23" s="999">
        <f>IF(SUM(G23:J23)&gt;0,1,0)</f>
        <v>0</v>
      </c>
      <c r="W23" s="999">
        <f>IF(B23=K23,1,0)</f>
        <v>1</v>
      </c>
      <c r="X23" s="999">
        <f>V23*W23</f>
        <v>0</v>
      </c>
      <c r="Y23" s="1001">
        <f>IF(AND(B23=0,D23&gt;0),1,0)</f>
        <v>0</v>
      </c>
      <c r="Z23" s="1002">
        <f>'Table 1'!$M$22</f>
        <v>3</v>
      </c>
    </row>
    <row r="24" spans="1:26" ht="24.95" customHeight="1">
      <c r="A24" s="277" t="s">
        <v>2</v>
      </c>
      <c r="B24" s="310">
        <f>SUM(B22:B23)</f>
        <v>148</v>
      </c>
      <c r="C24" s="310">
        <f>SUM(C22:C23)</f>
        <v>4</v>
      </c>
      <c r="D24" s="310">
        <f>SUM(D22:D23)</f>
        <v>2</v>
      </c>
      <c r="E24" s="558"/>
      <c r="F24" s="314">
        <f>SUM(F22:F23)</f>
        <v>148</v>
      </c>
      <c r="G24" s="310">
        <f>SUM(G22:G23)</f>
        <v>0</v>
      </c>
      <c r="H24" s="499"/>
      <c r="I24" s="499"/>
      <c r="J24" s="499"/>
      <c r="K24" s="311">
        <f>SUM(F24:G24)</f>
        <v>148</v>
      </c>
      <c r="L24" s="567"/>
      <c r="M24" s="595"/>
      <c r="N24" s="568"/>
      <c r="O24" s="280"/>
      <c r="P24" s="280"/>
      <c r="Q24" s="9"/>
      <c r="S24" s="999"/>
      <c r="T24" s="999"/>
      <c r="U24" s="999"/>
      <c r="V24" s="999"/>
      <c r="W24" s="999"/>
      <c r="X24" s="999"/>
      <c r="Y24" s="999"/>
      <c r="Z24" s="1002"/>
    </row>
    <row r="25" spans="1:26" ht="24.95" customHeight="1">
      <c r="A25" s="279" t="s">
        <v>177</v>
      </c>
      <c r="B25" s="295"/>
      <c r="C25" s="292"/>
      <c r="D25" s="293"/>
      <c r="E25" s="292"/>
      <c r="F25" s="292"/>
      <c r="G25" s="292"/>
      <c r="H25" s="292"/>
      <c r="I25" s="292"/>
      <c r="J25" s="292"/>
      <c r="K25" s="296"/>
      <c r="L25" s="567"/>
      <c r="M25" s="597" t="s">
        <v>248</v>
      </c>
      <c r="N25" s="280"/>
      <c r="O25" s="280"/>
      <c r="P25" s="280"/>
      <c r="Q25" s="9"/>
      <c r="S25" s="999"/>
      <c r="T25" s="999"/>
      <c r="U25" s="999"/>
      <c r="V25" s="999"/>
      <c r="W25" s="999"/>
      <c r="X25" s="999"/>
      <c r="Y25" s="999"/>
      <c r="Z25" s="1002"/>
    </row>
    <row r="26" spans="1:26" ht="24.95" customHeight="1">
      <c r="A26" s="278" t="s">
        <v>81</v>
      </c>
      <c r="B26" s="304"/>
      <c r="C26" s="304"/>
      <c r="D26" s="293"/>
      <c r="E26" s="292"/>
      <c r="F26" s="292"/>
      <c r="G26" s="292"/>
      <c r="H26" s="292"/>
      <c r="I26" s="292"/>
      <c r="J26" s="292"/>
      <c r="K26" s="294"/>
      <c r="L26" s="262"/>
      <c r="M26" s="652" t="s">
        <v>252</v>
      </c>
      <c r="N26" s="598"/>
      <c r="O26" s="598" t="str">
        <f>IF(SUM($B$26:$B$29)=$B$24,"YES","NO")</f>
        <v>YES</v>
      </c>
      <c r="P26" s="598"/>
      <c r="Q26" s="280"/>
      <c r="R26" s="1003"/>
      <c r="S26" s="1003"/>
      <c r="T26" s="999"/>
      <c r="U26" s="999"/>
      <c r="V26" s="999"/>
      <c r="W26" s="999"/>
      <c r="X26" s="999"/>
      <c r="Y26" s="999"/>
      <c r="Z26" s="1002"/>
    </row>
    <row r="27" spans="1:26" ht="24.95" customHeight="1">
      <c r="A27" s="278" t="s">
        <v>79</v>
      </c>
      <c r="B27" s="304">
        <v>74</v>
      </c>
      <c r="C27" s="304">
        <v>2</v>
      </c>
      <c r="D27" s="293"/>
      <c r="E27" s="292"/>
      <c r="F27" s="292"/>
      <c r="G27" s="292"/>
      <c r="H27" s="292"/>
      <c r="I27" s="292"/>
      <c r="J27" s="292"/>
      <c r="K27" s="294"/>
      <c r="L27" s="262"/>
      <c r="M27" s="652" t="s">
        <v>253</v>
      </c>
      <c r="N27" s="598"/>
      <c r="O27" s="598" t="str">
        <f>IF(SUM($C$26:$C$29)=$C$24,"YES","NO")</f>
        <v>YES</v>
      </c>
      <c r="P27" s="256"/>
      <c r="Q27" s="9"/>
      <c r="S27" s="999"/>
      <c r="T27" s="999"/>
      <c r="U27" s="1000"/>
      <c r="V27" s="999"/>
      <c r="W27" s="999"/>
      <c r="X27" s="1000"/>
      <c r="Y27" s="999"/>
      <c r="Z27" s="1002"/>
    </row>
    <row r="28" spans="1:26" ht="24.95" customHeight="1" thickBot="1">
      <c r="A28" s="278" t="s">
        <v>80</v>
      </c>
      <c r="B28" s="304">
        <v>52.5</v>
      </c>
      <c r="C28" s="304">
        <v>2</v>
      </c>
      <c r="D28" s="293"/>
      <c r="E28" s="292"/>
      <c r="F28" s="292"/>
      <c r="G28" s="292"/>
      <c r="H28" s="292"/>
      <c r="I28" s="292"/>
      <c r="J28" s="292"/>
      <c r="K28" s="294"/>
      <c r="L28" s="262"/>
      <c r="M28" s="596"/>
      <c r="N28" s="9"/>
      <c r="O28" s="9"/>
      <c r="P28" s="9"/>
      <c r="Q28" s="9"/>
      <c r="S28" s="999"/>
      <c r="T28" s="999"/>
      <c r="U28" s="1000"/>
      <c r="V28" s="999"/>
      <c r="W28" s="999"/>
      <c r="X28" s="1000"/>
      <c r="Y28" s="999"/>
      <c r="Z28" s="1002"/>
    </row>
    <row r="29" spans="1:26" ht="24.95" customHeight="1">
      <c r="A29" s="278" t="s">
        <v>102</v>
      </c>
      <c r="B29" s="304">
        <v>21.5</v>
      </c>
      <c r="C29" s="304"/>
      <c r="D29" s="293"/>
      <c r="E29" s="292"/>
      <c r="F29" s="292"/>
      <c r="G29" s="292"/>
      <c r="H29" s="292"/>
      <c r="I29" s="292"/>
      <c r="J29" s="292"/>
      <c r="K29" s="294"/>
      <c r="L29" s="262"/>
      <c r="M29" s="1219" t="s">
        <v>377</v>
      </c>
      <c r="N29" s="1221" t="s">
        <v>376</v>
      </c>
      <c r="O29" s="1223" t="s">
        <v>249</v>
      </c>
      <c r="P29" s="1225" t="s">
        <v>111</v>
      </c>
      <c r="Q29" s="9"/>
      <c r="S29" s="999"/>
      <c r="T29" s="999"/>
      <c r="U29" s="999"/>
      <c r="V29" s="999"/>
      <c r="W29" s="999"/>
      <c r="X29" s="999"/>
      <c r="Y29" s="999"/>
      <c r="Z29" s="1002"/>
    </row>
    <row r="30" spans="1:26" ht="9.9499999999999993" customHeight="1" thickBot="1">
      <c r="A30" s="297"/>
      <c r="B30" s="292"/>
      <c r="C30" s="292"/>
      <c r="D30" s="293"/>
      <c r="E30" s="292"/>
      <c r="F30" s="292"/>
      <c r="G30" s="292"/>
      <c r="H30" s="292"/>
      <c r="I30" s="292"/>
      <c r="J30" s="292"/>
      <c r="K30" s="294"/>
      <c r="L30" s="262"/>
      <c r="M30" s="1220"/>
      <c r="N30" s="1222"/>
      <c r="O30" s="1224"/>
      <c r="P30" s="1226"/>
      <c r="Q30" s="9"/>
      <c r="S30" s="999"/>
      <c r="T30" s="999"/>
      <c r="U30" s="999"/>
      <c r="V30" s="999"/>
      <c r="W30" s="999"/>
      <c r="X30" s="999"/>
      <c r="Y30" s="999"/>
      <c r="Z30" s="1002"/>
    </row>
    <row r="31" spans="1:26" ht="24.95" customHeight="1">
      <c r="A31" s="275" t="s">
        <v>35</v>
      </c>
      <c r="B31" s="304"/>
      <c r="C31" s="305"/>
      <c r="D31" s="293"/>
      <c r="E31" s="305"/>
      <c r="F31" s="305"/>
      <c r="G31" s="305"/>
      <c r="H31" s="305"/>
      <c r="I31" s="305"/>
      <c r="J31" s="559"/>
      <c r="K31" s="311">
        <f>SUM(E31:I31)</f>
        <v>0</v>
      </c>
      <c r="L31" s="567"/>
      <c r="M31" s="599" t="str">
        <f>IF(S31=1,Only_intake_recorded,IF(OR(T31=1,Y31=1),Intake_missing,"OK"))</f>
        <v>OK</v>
      </c>
      <c r="N31" s="600" t="str">
        <f>IF(OR(U31=1,X31=1),Intake_inconsistent,"OK")</f>
        <v>OK</v>
      </c>
      <c r="O31" s="601">
        <f>K31-Z31</f>
        <v>0</v>
      </c>
      <c r="P31" s="602" t="str">
        <f>IF(ABS(O31)&gt;0.1,"Does not equal figure in Table 1","OK")</f>
        <v>OK</v>
      </c>
      <c r="Q31" s="9"/>
      <c r="S31" s="1001">
        <f>IF(AND(B31&gt;0,K31=0),1,0)</f>
        <v>0</v>
      </c>
      <c r="T31" s="1001">
        <f>IF(AND(B31=0,K31&gt;0),1,0)</f>
        <v>0</v>
      </c>
      <c r="U31" s="999">
        <f>IF(B31&gt;K31,1,0)</f>
        <v>0</v>
      </c>
      <c r="V31" s="999">
        <f>IF(SUM(G31:J31)&gt;0,1,0)</f>
        <v>0</v>
      </c>
      <c r="W31" s="999">
        <f>IF(B31=K31,1,0)</f>
        <v>1</v>
      </c>
      <c r="X31" s="999">
        <f>V31*W31</f>
        <v>0</v>
      </c>
      <c r="Y31" s="1001"/>
      <c r="Z31" s="1002">
        <f>'Table 1'!$P$34</f>
        <v>0</v>
      </c>
    </row>
    <row r="32" spans="1:26" ht="24.95" customHeight="1">
      <c r="A32" s="275" t="s">
        <v>36</v>
      </c>
      <c r="B32" s="304"/>
      <c r="C32" s="305"/>
      <c r="D32" s="293"/>
      <c r="E32" s="305"/>
      <c r="F32" s="305"/>
      <c r="G32" s="305"/>
      <c r="H32" s="305"/>
      <c r="I32" s="305"/>
      <c r="J32" s="559"/>
      <c r="K32" s="311">
        <f>SUM(E32:I32)</f>
        <v>0</v>
      </c>
      <c r="L32" s="567"/>
      <c r="M32" s="569" t="str">
        <f>IF(S32=1,Only_intake_recorded,IF(OR(T32=1,Y32=1),Intake_missing,"OK"))</f>
        <v>OK</v>
      </c>
      <c r="N32" s="565" t="str">
        <f>IF(OR(U32=1,X32=1),Intake_inconsistent,"OK")</f>
        <v>OK</v>
      </c>
      <c r="O32" s="566">
        <f>K32-Z32</f>
        <v>0</v>
      </c>
      <c r="P32" s="570" t="str">
        <f>IF(ABS(O32)&gt;0.1,"Does not equal figure in Table 1","OK")</f>
        <v>OK</v>
      </c>
      <c r="Q32" s="9"/>
      <c r="S32" s="1001">
        <f>IF(AND(B32&gt;0,K32=0),1,0)</f>
        <v>0</v>
      </c>
      <c r="T32" s="1001">
        <f>IF(AND(B32=0,K32&gt;0),1,0)</f>
        <v>0</v>
      </c>
      <c r="U32" s="999">
        <f>IF(B32&gt;K32,1,0)</f>
        <v>0</v>
      </c>
      <c r="V32" s="999">
        <f>IF(SUM(G32:J32)&gt;0,1,0)</f>
        <v>0</v>
      </c>
      <c r="W32" s="999">
        <f>IF(B32=K32,1,0)</f>
        <v>1</v>
      </c>
      <c r="X32" s="999">
        <f>V32*W32</f>
        <v>0</v>
      </c>
      <c r="Y32" s="1001"/>
      <c r="Z32" s="1002">
        <f>'Table 1'!$P$35</f>
        <v>0</v>
      </c>
    </row>
    <row r="33" spans="1:26" ht="24.95" customHeight="1">
      <c r="A33" s="275" t="s">
        <v>37</v>
      </c>
      <c r="B33" s="304">
        <v>26</v>
      </c>
      <c r="C33" s="305"/>
      <c r="D33" s="293"/>
      <c r="E33" s="305"/>
      <c r="F33" s="305">
        <v>24</v>
      </c>
      <c r="G33" s="305">
        <v>25</v>
      </c>
      <c r="H33" s="305">
        <v>26</v>
      </c>
      <c r="I33" s="305">
        <v>33.6</v>
      </c>
      <c r="J33" s="560"/>
      <c r="K33" s="311">
        <f>SUM(E33:I33)</f>
        <v>108.6</v>
      </c>
      <c r="L33" s="567"/>
      <c r="M33" s="569" t="str">
        <f>IF(S33=1,Only_intake_recorded,IF(OR(T33=1,Y33=1),Intake_missing,"OK"))</f>
        <v>OK</v>
      </c>
      <c r="N33" s="565" t="str">
        <f>IF(OR(U33=1,X33=1),Intake_inconsistent,"OK")</f>
        <v>OK</v>
      </c>
      <c r="O33" s="566">
        <f>K33-Z33</f>
        <v>0</v>
      </c>
      <c r="P33" s="570" t="str">
        <f>IF(ABS(O33)&gt;0.1,"Does not equal figure in Table 1","OK")</f>
        <v>OK</v>
      </c>
      <c r="Q33" s="9"/>
      <c r="S33" s="1001">
        <f>IF(AND(B33&gt;0,K33=0),1,0)</f>
        <v>0</v>
      </c>
      <c r="T33" s="1001">
        <f>IF(AND(B33=0,K33&gt;0),1,0)</f>
        <v>0</v>
      </c>
      <c r="U33" s="999">
        <f>IF(B33&gt;K33,1,0)</f>
        <v>0</v>
      </c>
      <c r="V33" s="999">
        <f>IF(SUM(G33:J33)&gt;0,1,0)</f>
        <v>1</v>
      </c>
      <c r="W33" s="999">
        <f>IF(B33=K33,1,0)</f>
        <v>0</v>
      </c>
      <c r="X33" s="999">
        <f>V33*W33</f>
        <v>0</v>
      </c>
      <c r="Y33" s="1001"/>
      <c r="Z33" s="1002">
        <f>'Table 1'!$P$36</f>
        <v>108.6</v>
      </c>
    </row>
    <row r="34" spans="1:26" ht="9.9499999999999993" customHeight="1">
      <c r="A34" s="298"/>
      <c r="B34" s="299"/>
      <c r="C34" s="299"/>
      <c r="D34" s="300"/>
      <c r="E34" s="299"/>
      <c r="F34" s="299"/>
      <c r="G34" s="299"/>
      <c r="H34" s="299"/>
      <c r="I34" s="299"/>
      <c r="J34" s="292"/>
      <c r="K34" s="301"/>
      <c r="L34" s="8"/>
      <c r="M34" s="603"/>
      <c r="N34" s="604"/>
      <c r="O34" s="605"/>
      <c r="P34" s="606"/>
      <c r="Q34" s="9"/>
      <c r="S34" s="999"/>
      <c r="T34" s="999"/>
      <c r="U34" s="999"/>
      <c r="V34" s="999"/>
      <c r="W34" s="999"/>
      <c r="X34" s="999"/>
      <c r="Y34" s="999"/>
      <c r="Z34" s="1002"/>
    </row>
    <row r="35" spans="1:26" ht="24.95" customHeight="1" thickBot="1">
      <c r="A35" s="651" t="s">
        <v>38</v>
      </c>
      <c r="B35" s="308">
        <v>47</v>
      </c>
      <c r="C35" s="308"/>
      <c r="D35" s="309"/>
      <c r="E35" s="308"/>
      <c r="F35" s="309">
        <v>48</v>
      </c>
      <c r="G35" s="309">
        <v>46</v>
      </c>
      <c r="H35" s="309">
        <v>40</v>
      </c>
      <c r="I35" s="309">
        <v>35.099999999999994</v>
      </c>
      <c r="J35" s="309"/>
      <c r="K35" s="313">
        <f>SUM(E35:J35)</f>
        <v>169.1</v>
      </c>
      <c r="L35" s="567"/>
      <c r="M35" s="577" t="str">
        <f>IF(S35=1,Only_intake_recorded,IF(OR(T35=1,Y35=1),Intake_missing,"OK"))</f>
        <v>OK</v>
      </c>
      <c r="N35" s="578" t="str">
        <f>IF(OR(U35=1,X35=1),Intake_inconsistent,"OK")</f>
        <v>OK</v>
      </c>
      <c r="O35" s="607"/>
      <c r="P35" s="608"/>
      <c r="Q35" s="9"/>
      <c r="S35" s="1001">
        <f>IF(AND(B35&gt;0,K35=0),1,0)</f>
        <v>0</v>
      </c>
      <c r="T35" s="1001">
        <f>IF(AND(B35=0,K35&gt;0),1,0)</f>
        <v>0</v>
      </c>
      <c r="U35" s="999">
        <f>IF(B35&gt;K35,1,0)</f>
        <v>0</v>
      </c>
      <c r="V35" s="999">
        <f>IF(SUM(G35:J35)&gt;0,1,0)</f>
        <v>1</v>
      </c>
      <c r="W35" s="999">
        <f>IF(B35=K35,1,0)</f>
        <v>0</v>
      </c>
      <c r="X35" s="999">
        <f>V35*W35</f>
        <v>0</v>
      </c>
      <c r="Y35" s="1001">
        <f>IF(AND(B35=0,D35&gt;0),1,0)</f>
        <v>0</v>
      </c>
      <c r="Z35" s="1002"/>
    </row>
    <row r="36" spans="1:26" ht="39.950000000000003" customHeight="1">
      <c r="A36" s="1159" t="s">
        <v>88</v>
      </c>
      <c r="B36" s="302"/>
      <c r="C36" s="302"/>
      <c r="D36" s="262"/>
      <c r="E36" s="262"/>
      <c r="F36" s="262"/>
      <c r="G36" s="262"/>
      <c r="H36" s="262"/>
      <c r="I36" s="262"/>
      <c r="J36" s="262"/>
      <c r="K36" s="262"/>
      <c r="L36" s="262"/>
      <c r="M36" s="596"/>
      <c r="N36" s="9"/>
      <c r="O36" s="9"/>
      <c r="P36" s="9"/>
      <c r="Q36" s="9"/>
      <c r="R36" s="1004"/>
      <c r="S36" s="1004"/>
      <c r="T36" s="1004"/>
      <c r="U36" s="1004"/>
      <c r="V36" s="1004"/>
      <c r="W36" s="1004"/>
      <c r="X36" s="1004"/>
      <c r="Y36" s="1004"/>
    </row>
    <row r="37" spans="1:26" ht="22.5" customHeight="1">
      <c r="A37" s="245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596"/>
      <c r="N37" s="9"/>
      <c r="O37" s="9"/>
      <c r="P37" s="9"/>
      <c r="Q37" s="9"/>
    </row>
    <row r="38" spans="1:26" ht="12.75" customHeight="1">
      <c r="A38" s="1005"/>
      <c r="B38" s="1006"/>
      <c r="C38" s="1006"/>
      <c r="D38" s="1006"/>
      <c r="E38" s="1006"/>
      <c r="F38" s="1006"/>
      <c r="G38" s="1006"/>
      <c r="H38" s="1006"/>
      <c r="I38" s="1006"/>
      <c r="J38" s="1006"/>
      <c r="K38" s="1006"/>
      <c r="L38" s="1006"/>
      <c r="M38" s="1006"/>
    </row>
    <row r="39" spans="1:26">
      <c r="B39" s="1006"/>
      <c r="C39" s="1006"/>
      <c r="D39" s="1006"/>
      <c r="E39" s="1006"/>
      <c r="F39" s="1006"/>
      <c r="G39" s="1006"/>
      <c r="H39" s="1006"/>
      <c r="I39" s="1006"/>
      <c r="J39" s="1006"/>
      <c r="K39" s="1006"/>
      <c r="L39" s="1006"/>
      <c r="M39" s="1006"/>
    </row>
    <row r="40" spans="1:26">
      <c r="B40" s="1006"/>
      <c r="C40" s="1006"/>
      <c r="D40" s="1006"/>
      <c r="E40" s="1006"/>
      <c r="F40" s="1006"/>
      <c r="G40" s="1006"/>
      <c r="H40" s="1006"/>
      <c r="I40" s="1006"/>
      <c r="J40" s="1006"/>
      <c r="K40" s="1006"/>
      <c r="L40" s="1006"/>
      <c r="M40" s="1006"/>
    </row>
    <row r="41" spans="1:26">
      <c r="B41" s="1006"/>
      <c r="C41" s="1006"/>
      <c r="D41" s="1006"/>
      <c r="E41" s="1006"/>
      <c r="F41" s="1006"/>
      <c r="G41" s="1006"/>
      <c r="H41" s="1006"/>
      <c r="I41" s="1006"/>
      <c r="J41" s="1006"/>
      <c r="K41" s="1006"/>
      <c r="L41" s="1006"/>
      <c r="M41" s="1006"/>
    </row>
  </sheetData>
  <sheetProtection password="E23E" sheet="1" objects="1" scenarios="1"/>
  <mergeCells count="24">
    <mergeCell ref="B4:F4"/>
    <mergeCell ref="B8:D8"/>
    <mergeCell ref="E8:K8"/>
    <mergeCell ref="S8:S10"/>
    <mergeCell ref="T8:T10"/>
    <mergeCell ref="W8:W10"/>
    <mergeCell ref="X8:X10"/>
    <mergeCell ref="Y8:Y10"/>
    <mergeCell ref="Z8:Z10"/>
    <mergeCell ref="B9:B10"/>
    <mergeCell ref="C9:C10"/>
    <mergeCell ref="D9:D10"/>
    <mergeCell ref="E9:K9"/>
    <mergeCell ref="U8:U10"/>
    <mergeCell ref="M29:M30"/>
    <mergeCell ref="N29:N30"/>
    <mergeCell ref="O29:O30"/>
    <mergeCell ref="P29:P30"/>
    <mergeCell ref="V8:V9"/>
    <mergeCell ref="O11:P11"/>
    <mergeCell ref="M12:M13"/>
    <mergeCell ref="N12:N13"/>
    <mergeCell ref="O12:O13"/>
    <mergeCell ref="P12:P13"/>
  </mergeCells>
  <conditionalFormatting sqref="A1:Q1">
    <cfRule type="expression" dxfId="67" priority="3" stopIfTrue="1">
      <formula>$G$4=0</formula>
    </cfRule>
  </conditionalFormatting>
  <conditionalFormatting sqref="B15:D16 F15 F16:G16 B19:I19 B22:D23 F22:F23 G23 B31:C33 E31:I33 B35:J35 B26:C29">
    <cfRule type="expression" dxfId="66" priority="2" stopIfTrue="1">
      <formula>$G$4=0</formula>
    </cfRule>
  </conditionalFormatting>
  <conditionalFormatting sqref="M15:P16 M19:P19 M22:P23 M31:P33 M35:P35 P26:S26 M26:N27">
    <cfRule type="expression" dxfId="65" priority="1" stopIfTrue="1">
      <formula>$G$4=0</formula>
    </cfRule>
  </conditionalFormatting>
  <conditionalFormatting sqref="O26:O27">
    <cfRule type="expression" dxfId="64" priority="4" stopIfTrue="1">
      <formula>$G$4=0</formula>
    </cfRule>
    <cfRule type="cellIs" dxfId="63" priority="5" stopIfTrue="1" operator="equal">
      <formula>"NO"</formula>
    </cfRule>
  </conditionalFormatting>
  <dataValidations count="1">
    <dataValidation type="custom" allowBlank="1" showErrorMessage="1" errorTitle="Number less than 0" error="You are trying to enter a number which is less than 0, please re-enter a valid number." sqref="B15:D16 B35:J35 E31:I33 B31:C33 F15:F16 G23 F22:F23 B22:D23 B19:I19 G16 B26:C29">
      <formula1>B15&gt;=0</formula1>
    </dataValidation>
  </dataValidations>
  <printOptions horizontalCentered="1" verticalCentered="1"/>
  <pageMargins left="0.2" right="0.19" top="0.18" bottom="0.17" header="0.17" footer="0.16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zoomScale="75" workbookViewId="0"/>
  </sheetViews>
  <sheetFormatPr defaultRowHeight="18.75"/>
  <cols>
    <col min="1" max="1" width="43.140625" style="1010" customWidth="1"/>
    <col min="2" max="13" width="10.7109375" style="1010" customWidth="1"/>
    <col min="14" max="15" width="12.7109375" style="1010" customWidth="1"/>
    <col min="16" max="16" width="2.7109375" style="1010" customWidth="1"/>
    <col min="17" max="23" width="15.7109375" style="1010" customWidth="1"/>
    <col min="24" max="24" width="4" style="1010" customWidth="1"/>
    <col min="25" max="16384" width="9.140625" style="1010"/>
  </cols>
  <sheetData>
    <row r="1" spans="1:24" ht="50.1" customHeight="1">
      <c r="A1" s="271" t="str">
        <f>IF(G4=0,"Your Institution Does Not Complete This Table","")</f>
        <v>Your Institution Does Not Complete This Table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ht="30" customHeight="1">
      <c r="A2" s="626" t="s">
        <v>263</v>
      </c>
      <c r="B2" s="502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03"/>
      <c r="P2" s="289"/>
      <c r="Q2" s="244"/>
      <c r="R2" s="244"/>
      <c r="S2" s="244"/>
      <c r="T2" s="244"/>
      <c r="U2" s="244"/>
      <c r="V2" s="244"/>
      <c r="W2" s="244"/>
      <c r="X2" s="244"/>
    </row>
    <row r="3" spans="1:24" ht="15" customHeight="1" thickBot="1">
      <c r="A3" s="504"/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91"/>
      <c r="Q3" s="244"/>
      <c r="R3" s="244"/>
      <c r="S3" s="244"/>
      <c r="T3" s="244"/>
      <c r="U3" s="244"/>
      <c r="V3" s="244"/>
      <c r="W3" s="244"/>
      <c r="X3" s="244"/>
    </row>
    <row r="4" spans="1:24" ht="35.1" customHeight="1" thickBot="1">
      <c r="A4" s="624" t="s">
        <v>0</v>
      </c>
      <c r="B4" s="1249" t="str">
        <f>Background!$D$2</f>
        <v>Glasgow, University of</v>
      </c>
      <c r="C4" s="1250"/>
      <c r="D4" s="1250"/>
      <c r="E4" s="1250"/>
      <c r="F4" s="1251"/>
      <c r="G4" s="272">
        <f>VLOOKUP(Background!$C$2,Inst_Tables,4,FALSE)</f>
        <v>0</v>
      </c>
      <c r="H4" s="284"/>
      <c r="I4" s="284"/>
      <c r="J4" s="284"/>
      <c r="K4" s="284"/>
      <c r="L4" s="284"/>
      <c r="M4" s="284"/>
      <c r="N4" s="284"/>
      <c r="O4" s="284"/>
      <c r="P4" s="291"/>
      <c r="Q4" s="244"/>
      <c r="R4" s="244"/>
      <c r="S4" s="244"/>
      <c r="T4" s="244"/>
      <c r="U4" s="244"/>
      <c r="V4" s="244"/>
      <c r="W4" s="244"/>
      <c r="X4" s="244"/>
    </row>
    <row r="5" spans="1:24" ht="35.1" customHeight="1">
      <c r="A5" s="625" t="s">
        <v>264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91"/>
      <c r="Q5" s="244"/>
      <c r="R5" s="244"/>
      <c r="S5" s="244"/>
      <c r="T5" s="244"/>
      <c r="U5" s="244"/>
      <c r="V5" s="244"/>
      <c r="W5" s="244"/>
      <c r="X5" s="244"/>
    </row>
    <row r="6" spans="1:24" ht="30" customHeight="1">
      <c r="A6" s="478" t="s">
        <v>396</v>
      </c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91"/>
      <c r="Q6" s="244"/>
      <c r="R6" s="244"/>
      <c r="S6" s="244"/>
      <c r="T6" s="244"/>
      <c r="U6" s="244"/>
      <c r="V6" s="244"/>
      <c r="W6" s="244"/>
      <c r="X6" s="244"/>
    </row>
    <row r="7" spans="1:24" ht="15" customHeight="1" thickBot="1">
      <c r="A7" s="478"/>
      <c r="B7" s="26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91"/>
      <c r="Q7" s="244"/>
      <c r="R7" s="244"/>
      <c r="S7" s="244"/>
      <c r="T7" s="244"/>
      <c r="U7" s="244"/>
      <c r="V7" s="244"/>
      <c r="W7" s="244"/>
      <c r="X7" s="244"/>
    </row>
    <row r="8" spans="1:24" ht="35.1" customHeight="1">
      <c r="A8" s="1090"/>
      <c r="B8" s="1252" t="s">
        <v>27</v>
      </c>
      <c r="C8" s="1253"/>
      <c r="D8" s="1253"/>
      <c r="E8" s="1253"/>
      <c r="F8" s="1253"/>
      <c r="G8" s="1253"/>
      <c r="H8" s="1253"/>
      <c r="I8" s="1253"/>
      <c r="J8" s="1253"/>
      <c r="K8" s="1253"/>
      <c r="L8" s="1253"/>
      <c r="M8" s="1253"/>
      <c r="N8" s="1253"/>
      <c r="O8" s="1254"/>
      <c r="P8" s="291"/>
      <c r="Q8" s="244"/>
      <c r="R8" s="244"/>
      <c r="S8" s="244"/>
      <c r="T8" s="244"/>
      <c r="U8" s="244"/>
      <c r="V8" s="244"/>
      <c r="W8" s="244"/>
      <c r="X8" s="244"/>
    </row>
    <row r="9" spans="1:24" ht="35.1" customHeight="1">
      <c r="A9" s="498" t="s">
        <v>39</v>
      </c>
      <c r="B9" s="533">
        <v>0</v>
      </c>
      <c r="C9" s="534"/>
      <c r="D9" s="533" t="s">
        <v>40</v>
      </c>
      <c r="E9" s="534"/>
      <c r="F9" s="533">
        <v>2</v>
      </c>
      <c r="G9" s="534"/>
      <c r="H9" s="533">
        <v>3</v>
      </c>
      <c r="I9" s="534"/>
      <c r="J9" s="533">
        <v>4</v>
      </c>
      <c r="K9" s="534"/>
      <c r="L9" s="533">
        <v>5</v>
      </c>
      <c r="M9" s="534"/>
      <c r="N9" s="1255" t="s">
        <v>2</v>
      </c>
      <c r="O9" s="1256"/>
      <c r="P9" s="291"/>
      <c r="Q9" s="244"/>
      <c r="R9" s="244"/>
      <c r="S9" s="244"/>
      <c r="T9" s="244"/>
      <c r="U9" s="244"/>
      <c r="V9" s="244"/>
      <c r="W9" s="244"/>
      <c r="X9" s="244"/>
    </row>
    <row r="10" spans="1:24" ht="50.1" customHeight="1">
      <c r="A10" s="1091"/>
      <c r="B10" s="978" t="s">
        <v>32</v>
      </c>
      <c r="C10" s="506" t="s">
        <v>92</v>
      </c>
      <c r="D10" s="978" t="s">
        <v>32</v>
      </c>
      <c r="E10" s="506" t="s">
        <v>92</v>
      </c>
      <c r="F10" s="978" t="s">
        <v>32</v>
      </c>
      <c r="G10" s="506" t="s">
        <v>92</v>
      </c>
      <c r="H10" s="978" t="s">
        <v>32</v>
      </c>
      <c r="I10" s="506" t="s">
        <v>92</v>
      </c>
      <c r="J10" s="978" t="s">
        <v>32</v>
      </c>
      <c r="K10" s="506" t="s">
        <v>78</v>
      </c>
      <c r="L10" s="978" t="s">
        <v>32</v>
      </c>
      <c r="M10" s="506" t="s">
        <v>78</v>
      </c>
      <c r="N10" s="978" t="s">
        <v>32</v>
      </c>
      <c r="O10" s="507" t="s">
        <v>78</v>
      </c>
      <c r="P10" s="287"/>
      <c r="Q10" s="508" t="s">
        <v>86</v>
      </c>
      <c r="R10" s="244"/>
      <c r="S10" s="244"/>
      <c r="T10" s="244"/>
      <c r="U10" s="244"/>
      <c r="V10" s="244"/>
      <c r="W10" s="244"/>
      <c r="X10" s="244"/>
    </row>
    <row r="11" spans="1:24" ht="45" customHeight="1" thickBot="1">
      <c r="A11" s="1092"/>
      <c r="B11" s="529" t="s">
        <v>48</v>
      </c>
      <c r="C11" s="530" t="s">
        <v>48</v>
      </c>
      <c r="D11" s="529" t="s">
        <v>48</v>
      </c>
      <c r="E11" s="530" t="s">
        <v>48</v>
      </c>
      <c r="F11" s="529" t="s">
        <v>48</v>
      </c>
      <c r="G11" s="530" t="s">
        <v>48</v>
      </c>
      <c r="H11" s="529" t="s">
        <v>48</v>
      </c>
      <c r="I11" s="530" t="s">
        <v>48</v>
      </c>
      <c r="J11" s="529" t="s">
        <v>48</v>
      </c>
      <c r="K11" s="530" t="s">
        <v>48</v>
      </c>
      <c r="L11" s="529" t="s">
        <v>48</v>
      </c>
      <c r="M11" s="530" t="s">
        <v>48</v>
      </c>
      <c r="N11" s="531" t="s">
        <v>179</v>
      </c>
      <c r="O11" s="532" t="s">
        <v>179</v>
      </c>
      <c r="P11" s="287"/>
      <c r="Q11" s="509" t="s">
        <v>95</v>
      </c>
      <c r="R11" s="509" t="s">
        <v>96</v>
      </c>
      <c r="S11" s="509" t="s">
        <v>97</v>
      </c>
      <c r="T11" s="509" t="s">
        <v>98</v>
      </c>
      <c r="U11" s="509" t="s">
        <v>99</v>
      </c>
      <c r="V11" s="509" t="s">
        <v>100</v>
      </c>
      <c r="W11" s="509" t="s">
        <v>2</v>
      </c>
      <c r="X11" s="244"/>
    </row>
    <row r="12" spans="1:24" ht="45" customHeight="1">
      <c r="A12" s="1093" t="s">
        <v>25</v>
      </c>
      <c r="B12" s="510"/>
      <c r="C12" s="511"/>
      <c r="D12" s="512"/>
      <c r="E12" s="513"/>
      <c r="F12" s="510"/>
      <c r="G12" s="511"/>
      <c r="H12" s="512"/>
      <c r="I12" s="513"/>
      <c r="J12" s="510"/>
      <c r="K12" s="511"/>
      <c r="L12" s="512"/>
      <c r="M12" s="513"/>
      <c r="N12" s="514">
        <f>SUM(B12,D12,F12,H12,J12,L12)</f>
        <v>0</v>
      </c>
      <c r="O12" s="515">
        <f>SUM(C12,E12,G12,I12,K12,M12)</f>
        <v>0</v>
      </c>
      <c r="P12" s="266"/>
      <c r="Q12" s="609" t="str">
        <f>IF(B12&lt;=C12,"OK","FTE larger than Headcount")</f>
        <v>OK</v>
      </c>
      <c r="R12" s="610" t="str">
        <f>IF(D12&lt;=E12,"OK","FTE larger than Headcount")</f>
        <v>OK</v>
      </c>
      <c r="S12" s="610" t="str">
        <f>IF(F12&lt;=G12,"OK","FTE larger than Headcount")</f>
        <v>OK</v>
      </c>
      <c r="T12" s="610" t="str">
        <f>IF(H12&lt;=I12,"OK","FTE larger than Headcount")</f>
        <v>OK</v>
      </c>
      <c r="U12" s="610" t="str">
        <f>IF(J12&lt;=K12,"OK","FTE larger than Headcount")</f>
        <v>OK</v>
      </c>
      <c r="V12" s="610" t="str">
        <f>IF(L12&lt;=M12,"OK","FTE larger than Headcount")</f>
        <v>OK</v>
      </c>
      <c r="W12" s="611" t="str">
        <f>IF(N12&lt;=O12,"OK","FTE larger than Headcount")</f>
        <v>OK</v>
      </c>
      <c r="X12" s="244"/>
    </row>
    <row r="13" spans="1:24" ht="45" customHeight="1" thickBot="1">
      <c r="A13" s="1094" t="s">
        <v>359</v>
      </c>
      <c r="B13" s="516"/>
      <c r="C13" s="517"/>
      <c r="D13" s="518"/>
      <c r="E13" s="519"/>
      <c r="F13" s="516"/>
      <c r="G13" s="517"/>
      <c r="H13" s="518"/>
      <c r="I13" s="519"/>
      <c r="J13" s="516"/>
      <c r="K13" s="517"/>
      <c r="L13" s="518"/>
      <c r="M13" s="519"/>
      <c r="N13" s="520">
        <f>SUM(B13,D13,F13,H13,J13,L13)</f>
        <v>0</v>
      </c>
      <c r="O13" s="521">
        <f>SUM(C13,E13,G13,I13,K13,M13)</f>
        <v>0</v>
      </c>
      <c r="P13" s="266"/>
      <c r="Q13" s="612" t="str">
        <f>IF(B13&lt;=C13,"OK","FTE larger than Headcount")</f>
        <v>OK</v>
      </c>
      <c r="R13" s="613" t="str">
        <f>IF(D13&lt;=E13,"OK","FTE larger than Headcount")</f>
        <v>OK</v>
      </c>
      <c r="S13" s="613" t="str">
        <f>IF(F13&lt;=G13,"OK","FTE larger than Headcount")</f>
        <v>OK</v>
      </c>
      <c r="T13" s="613" t="str">
        <f>IF(H13&lt;=I13,"OK","FTE larger than Headcount")</f>
        <v>OK</v>
      </c>
      <c r="U13" s="613" t="str">
        <f>IF(J13&lt;=K13,"OK","FTE larger than Headcount")</f>
        <v>OK</v>
      </c>
      <c r="V13" s="613" t="str">
        <f>IF(L13&lt;=M13,"OK","FTE larger than Headcount")</f>
        <v>OK</v>
      </c>
      <c r="W13" s="614" t="str">
        <f>IF(N13&lt;=O13,"OK","FTE larger than Headcount")</f>
        <v>OK</v>
      </c>
      <c r="X13" s="244"/>
    </row>
    <row r="14" spans="1:24" ht="30" customHeight="1">
      <c r="A14" s="522"/>
      <c r="B14" s="523"/>
      <c r="C14" s="523"/>
      <c r="D14" s="523"/>
      <c r="E14" s="523"/>
      <c r="F14" s="523"/>
      <c r="G14" s="523"/>
      <c r="H14" s="523"/>
      <c r="I14" s="523"/>
      <c r="J14" s="523"/>
      <c r="K14" s="523"/>
      <c r="L14" s="523"/>
      <c r="M14" s="523"/>
      <c r="N14" s="523"/>
      <c r="O14" s="523"/>
      <c r="P14" s="524"/>
      <c r="Q14" s="508"/>
      <c r="R14" s="244"/>
      <c r="S14" s="244"/>
      <c r="T14" s="244"/>
      <c r="U14" s="244"/>
      <c r="V14" s="244"/>
      <c r="W14" s="244"/>
      <c r="X14" s="244"/>
    </row>
    <row r="15" spans="1:24" ht="30" customHeight="1">
      <c r="A15" s="505"/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502"/>
      <c r="P15" s="502"/>
      <c r="Q15" s="508" t="s">
        <v>107</v>
      </c>
      <c r="R15" s="244"/>
      <c r="S15" s="244"/>
      <c r="T15" s="244"/>
      <c r="U15" s="244"/>
      <c r="V15" s="244"/>
      <c r="W15" s="244"/>
      <c r="X15" s="244"/>
    </row>
    <row r="16" spans="1:24" ht="9.9499999999999993" customHeight="1" thickBot="1">
      <c r="A16" s="505"/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508"/>
      <c r="R16" s="244"/>
      <c r="S16" s="244"/>
      <c r="T16" s="244"/>
      <c r="U16" s="244"/>
      <c r="V16" s="244"/>
      <c r="W16" s="244"/>
      <c r="X16" s="244"/>
    </row>
    <row r="17" spans="1:24" ht="45" customHeight="1">
      <c r="A17" s="243"/>
      <c r="B17" s="525"/>
      <c r="C17" s="526"/>
      <c r="D17" s="526"/>
      <c r="E17" s="526"/>
      <c r="F17" s="526"/>
      <c r="G17" s="526"/>
      <c r="H17" s="526"/>
      <c r="I17" s="526"/>
      <c r="J17" s="526"/>
      <c r="K17" s="526"/>
      <c r="L17" s="526"/>
      <c r="M17" s="526"/>
      <c r="N17" s="526"/>
      <c r="O17" s="526"/>
      <c r="P17" s="526"/>
      <c r="Q17" s="615" t="str">
        <f>IF(OR((COUNTBLANK(B12:C12)=1),AND(MAX(B12,C12)&gt;0,MIN(B12,C12)=0)),"Only one of FTE and Headcount is non-zero","OK")</f>
        <v>OK</v>
      </c>
      <c r="R17" s="616" t="str">
        <f>IF(OR((COUNTBLANK(D12:E12)=1),AND(MAX(D12,E12)&gt;0,MIN(D12,E12)=0)),"Only one of FTE and Headcount is non-zero","OK")</f>
        <v>OK</v>
      </c>
      <c r="S17" s="616" t="str">
        <f>IF(OR((COUNTBLANK(F12:G12)=1),AND(MAX(F12,G12)&gt;0,MIN(F12,G12)=0)),"Only one of FTE and Headcount is non-zero","OK")</f>
        <v>OK</v>
      </c>
      <c r="T17" s="616" t="str">
        <f>IF(OR((COUNTBLANK(H12:I12)=1),AND(MAX(H12,I12)&gt;0,MIN(H12,I12)=0)),"Only one of FTE and Headcount is non-zero","OK")</f>
        <v>OK</v>
      </c>
      <c r="U17" s="616" t="str">
        <f>IF(OR((COUNTBLANK(J12:K12)=1),AND(MAX(J12,K12)&gt;0,MIN(J12,K12)=0)),"Only one of FTE and Headcount is non-zero","OK")</f>
        <v>OK</v>
      </c>
      <c r="V17" s="616" t="str">
        <f>IF(OR((COUNTBLANK(L12:M12)=1),AND(MAX(L12,M12)&gt;0,MIN(L12,M12)=0)),"Only one of FTE and Headcount is non-zero","OK")</f>
        <v>OK</v>
      </c>
      <c r="W17" s="617" t="str">
        <f>IF(OR((COUNTBLANK(N12:O12)=1),AND(MAX(N12,O12)&gt;0,MIN(N12,O12)=0)),"Only one of FTE and Headcount is non-zero","OK")</f>
        <v>OK</v>
      </c>
      <c r="X17" s="244"/>
    </row>
    <row r="18" spans="1:24" ht="45" customHeight="1" thickBot="1">
      <c r="A18" s="8"/>
      <c r="B18" s="251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618" t="str">
        <f>IF(OR((COUNTBLANK(B13:C13)=1),AND(MAX(B13,C13)&gt;0,MIN(B13,C13)=0)),"Only one of FTE and Headcount is non-zero","OK")</f>
        <v>OK</v>
      </c>
      <c r="R18" s="619" t="str">
        <f>IF(OR((COUNTBLANK(D13:E13)=1),AND(MAX(D13,E13)&gt;0,MIN(D13,E13)=0)),"Only one of FTE and Headcount is non-zero","OK")</f>
        <v>OK</v>
      </c>
      <c r="S18" s="619" t="str">
        <f>IF(OR((COUNTBLANK(F13:G13)=1),AND(MAX(F13,G13)&gt;0,MIN(F13,G13)=0)),"Only one of FTE and Headcount is non-zero","OK")</f>
        <v>OK</v>
      </c>
      <c r="T18" s="619" t="str">
        <f>IF(OR((COUNTBLANK(H13:I13)=1),AND(MAX(H13,I13)&gt;0,MIN(H13,I13)=0)),"Only one of FTE and Headcount is non-zero","OK")</f>
        <v>OK</v>
      </c>
      <c r="U18" s="619" t="str">
        <f>IF(OR((COUNTBLANK(J13:K13)=1),AND(MAX(J13,K13)&gt;0,MIN(J13,K13)=0)),"Only one of FTE and Headcount is non-zero","OK")</f>
        <v>OK</v>
      </c>
      <c r="V18" s="619" t="str">
        <f>IF(OR((COUNTBLANK(L13:M13)=1),AND(MAX(L13,M13)&gt;0,MIN(L13,M13)=0)),"Only one of FTE and Headcount is non-zero","OK")</f>
        <v>OK</v>
      </c>
      <c r="W18" s="620" t="str">
        <f>IF(OR((COUNTBLANK(N13:O13)=1),AND(MAX(N13,O13)&gt;0,MIN(N13,O13)=0)),"Only one of FTE and Headcount is non-zero","OK")</f>
        <v>OK</v>
      </c>
      <c r="X18" s="244"/>
    </row>
    <row r="19" spans="1:24" ht="33.75" customHeight="1">
      <c r="A19" s="251"/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527"/>
      <c r="R19" s="527"/>
      <c r="S19" s="527"/>
      <c r="T19" s="527"/>
      <c r="U19" s="527"/>
      <c r="V19" s="527"/>
      <c r="W19" s="527"/>
      <c r="X19" s="244"/>
    </row>
    <row r="20" spans="1:24" ht="12.75" customHeight="1">
      <c r="A20" s="1008"/>
      <c r="B20" s="1009"/>
      <c r="C20" s="1009"/>
      <c r="D20" s="1009"/>
      <c r="E20" s="1009"/>
      <c r="F20" s="1009"/>
      <c r="G20" s="1009"/>
      <c r="H20" s="1009"/>
      <c r="I20" s="1009"/>
      <c r="J20" s="1009"/>
      <c r="K20" s="1009"/>
      <c r="L20" s="1009"/>
      <c r="M20" s="1009"/>
    </row>
    <row r="21" spans="1:24">
      <c r="B21" s="1009"/>
      <c r="C21" s="1009"/>
      <c r="D21" s="1009"/>
      <c r="E21" s="1009"/>
      <c r="F21" s="1009"/>
      <c r="G21" s="1009"/>
      <c r="H21" s="1009"/>
      <c r="I21" s="1009"/>
      <c r="J21" s="1009"/>
      <c r="K21" s="1009"/>
      <c r="L21" s="1009"/>
      <c r="M21" s="1009"/>
    </row>
    <row r="22" spans="1:24">
      <c r="B22" s="1009"/>
      <c r="C22" s="1009"/>
      <c r="D22" s="1009"/>
      <c r="E22" s="1009"/>
      <c r="F22" s="1009"/>
      <c r="G22" s="1009"/>
      <c r="H22" s="1009"/>
      <c r="I22" s="1009"/>
      <c r="J22" s="1009"/>
      <c r="K22" s="1009"/>
      <c r="L22" s="1009"/>
      <c r="M22" s="1009"/>
    </row>
  </sheetData>
  <sheetProtection password="E23E" sheet="1" objects="1" scenarios="1"/>
  <mergeCells count="3">
    <mergeCell ref="B4:F4"/>
    <mergeCell ref="B8:O8"/>
    <mergeCell ref="N9:O9"/>
  </mergeCells>
  <conditionalFormatting sqref="A3:C3 A17:C17">
    <cfRule type="expression" dxfId="62" priority="14" stopIfTrue="1">
      <formula>#REF!=0</formula>
    </cfRule>
  </conditionalFormatting>
  <conditionalFormatting sqref="A2:P2">
    <cfRule type="expression" dxfId="61" priority="17" stopIfTrue="1">
      <formula>#REF!=0</formula>
    </cfRule>
  </conditionalFormatting>
  <conditionalFormatting sqref="A4:B4">
    <cfRule type="expression" dxfId="60" priority="18" stopIfTrue="1">
      <formula>#REF!=0</formula>
    </cfRule>
  </conditionalFormatting>
  <conditionalFormatting sqref="A1">
    <cfRule type="expression" dxfId="59" priority="31" stopIfTrue="1">
      <formula>$G$4=0</formula>
    </cfRule>
  </conditionalFormatting>
  <conditionalFormatting sqref="B12:M13">
    <cfRule type="expression" dxfId="58" priority="32" stopIfTrue="1">
      <formula>$G$4=0</formula>
    </cfRule>
  </conditionalFormatting>
  <conditionalFormatting sqref="Q12:W13 Q17:W18">
    <cfRule type="expression" dxfId="57" priority="33" stopIfTrue="1">
      <formula>$G$4=0</formula>
    </cfRule>
  </conditionalFormatting>
  <conditionalFormatting sqref="B1:X1">
    <cfRule type="expression" dxfId="56" priority="35" stopIfTrue="1">
      <formula>$G$4=0</formula>
    </cfRule>
  </conditionalFormatting>
  <conditionalFormatting sqref="A5">
    <cfRule type="expression" dxfId="55" priority="1" stopIfTrue="1">
      <formula>#REF!=0</formula>
    </cfRule>
  </conditionalFormatting>
  <dataValidations count="2">
    <dataValidation allowBlank="1" sqref="Q17:W19"/>
    <dataValidation type="custom" allowBlank="1" showErrorMessage="1" errorTitle="Number less than 0" error="You are trying to enter a number which is less than 0, please re-enter a valid number." sqref="B12:M13">
      <formula1>B12&gt;=0</formula1>
    </dataValidation>
  </dataValidations>
  <printOptions horizontalCentered="1" verticalCentered="1"/>
  <pageMargins left="0.2" right="0.19" top="0.2" bottom="0.22" header="0.18" footer="0.16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="75" workbookViewId="0"/>
  </sheetViews>
  <sheetFormatPr defaultRowHeight="12.75"/>
  <cols>
    <col min="1" max="1" width="24.7109375" style="996" customWidth="1"/>
    <col min="2" max="4" width="16.7109375" style="996" customWidth="1"/>
    <col min="5" max="5" width="28.42578125" style="996" customWidth="1"/>
    <col min="6" max="6" width="15" style="996" customWidth="1"/>
    <col min="7" max="16384" width="9.140625" style="996"/>
  </cols>
  <sheetData>
    <row r="1" spans="1:6" ht="50.1" customHeight="1">
      <c r="A1" s="271" t="str">
        <f>IF(E4=0,"Your Institution Does Not Complete This Table","")</f>
        <v/>
      </c>
      <c r="B1" s="264"/>
      <c r="C1" s="264"/>
      <c r="D1" s="264"/>
      <c r="E1" s="264"/>
      <c r="F1" s="264"/>
    </row>
    <row r="2" spans="1:6" ht="30" customHeight="1">
      <c r="A2" s="626" t="s">
        <v>265</v>
      </c>
      <c r="B2" s="281"/>
      <c r="C2" s="281"/>
      <c r="D2" s="281"/>
      <c r="E2" s="281"/>
      <c r="F2" s="637"/>
    </row>
    <row r="3" spans="1:6" ht="15" customHeight="1">
      <c r="A3" s="243"/>
      <c r="B3" s="7"/>
      <c r="C3" s="7"/>
      <c r="D3" s="7"/>
      <c r="E3" s="7"/>
      <c r="F3" s="627"/>
    </row>
    <row r="4" spans="1:6" ht="35.1" customHeight="1">
      <c r="A4" s="628" t="s">
        <v>0</v>
      </c>
      <c r="B4" s="1241" t="str">
        <f>Background!$D$2</f>
        <v>Glasgow, University of</v>
      </c>
      <c r="C4" s="1242"/>
      <c r="D4" s="1243"/>
      <c r="E4" s="263">
        <f>VLOOKUP(Background!$C$2,Inst_Tables,5,FALSE)</f>
        <v>1</v>
      </c>
      <c r="F4" s="638"/>
    </row>
    <row r="5" spans="1:6" ht="35.1" customHeight="1">
      <c r="A5" s="629" t="s">
        <v>266</v>
      </c>
      <c r="B5" s="265"/>
      <c r="C5" s="266"/>
      <c r="D5" s="266"/>
      <c r="E5" s="267"/>
      <c r="F5" s="639"/>
    </row>
    <row r="6" spans="1:6" ht="30" customHeight="1">
      <c r="A6" s="478" t="s">
        <v>397</v>
      </c>
      <c r="B6" s="265"/>
      <c r="C6" s="266"/>
      <c r="D6" s="266"/>
      <c r="E6" s="267"/>
      <c r="F6" s="639"/>
    </row>
    <row r="7" spans="1:6" ht="15" customHeight="1" thickBot="1">
      <c r="A7" s="478"/>
      <c r="B7" s="265"/>
      <c r="C7" s="266"/>
      <c r="D7" s="266"/>
      <c r="E7" s="267"/>
      <c r="F7" s="639"/>
    </row>
    <row r="8" spans="1:6" ht="60" customHeight="1">
      <c r="A8" s="1112"/>
      <c r="B8" s="1244" t="s">
        <v>176</v>
      </c>
      <c r="C8" s="1244"/>
      <c r="D8" s="1257"/>
      <c r="E8" s="266"/>
      <c r="F8" s="291"/>
    </row>
    <row r="9" spans="1:6" ht="50.1" customHeight="1">
      <c r="A9" s="1113" t="s">
        <v>43</v>
      </c>
      <c r="B9" s="630" t="s">
        <v>41</v>
      </c>
      <c r="C9" s="631" t="s">
        <v>42</v>
      </c>
      <c r="D9" s="268" t="s">
        <v>2</v>
      </c>
      <c r="E9" s="266"/>
      <c r="F9" s="291"/>
    </row>
    <row r="10" spans="1:6" ht="35.1" customHeight="1">
      <c r="A10" s="1114"/>
      <c r="B10" s="632" t="s">
        <v>44</v>
      </c>
      <c r="C10" s="633" t="s">
        <v>44</v>
      </c>
      <c r="D10" s="634" t="s">
        <v>44</v>
      </c>
      <c r="E10" s="266"/>
      <c r="F10" s="291"/>
    </row>
    <row r="11" spans="1:6" ht="35.1" customHeight="1" thickBot="1">
      <c r="A11" s="1115"/>
      <c r="B11" s="493" t="s">
        <v>48</v>
      </c>
      <c r="C11" s="494" t="s">
        <v>48</v>
      </c>
      <c r="D11" s="528" t="s">
        <v>3</v>
      </c>
      <c r="E11" s="266"/>
      <c r="F11" s="291"/>
    </row>
    <row r="12" spans="1:6" ht="35.1" customHeight="1">
      <c r="A12" s="1116" t="s">
        <v>33</v>
      </c>
      <c r="B12" s="269">
        <v>418</v>
      </c>
      <c r="C12" s="270">
        <v>33</v>
      </c>
      <c r="D12" s="257">
        <f>B12+C12</f>
        <v>451</v>
      </c>
      <c r="E12" s="262"/>
      <c r="F12" s="287"/>
    </row>
    <row r="13" spans="1:6" ht="35.1" customHeight="1">
      <c r="A13" s="1117" t="s">
        <v>34</v>
      </c>
      <c r="B13" s="269">
        <v>88</v>
      </c>
      <c r="C13" s="270">
        <v>7</v>
      </c>
      <c r="D13" s="257">
        <f>B13+C13</f>
        <v>95</v>
      </c>
      <c r="E13" s="262"/>
      <c r="F13" s="287"/>
    </row>
    <row r="14" spans="1:6" ht="35.1" customHeight="1" thickBot="1">
      <c r="A14" s="1118" t="s">
        <v>2</v>
      </c>
      <c r="B14" s="258">
        <f>SUM(B12:B13)</f>
        <v>506</v>
      </c>
      <c r="C14" s="258">
        <f>SUM(C12:C13)</f>
        <v>40</v>
      </c>
      <c r="D14" s="259">
        <f>SUM(D12:D13)</f>
        <v>546</v>
      </c>
      <c r="E14" s="262"/>
      <c r="F14" s="287"/>
    </row>
    <row r="15" spans="1:6" ht="24.95" customHeight="1">
      <c r="A15" s="245"/>
      <c r="B15" s="481"/>
      <c r="C15" s="635"/>
      <c r="D15" s="635"/>
      <c r="E15" s="635"/>
      <c r="F15" s="636"/>
    </row>
    <row r="16" spans="1:6" s="1007" customFormat="1" ht="12" customHeight="1">
      <c r="A16" s="1003"/>
    </row>
    <row r="17" spans="3:10">
      <c r="C17" s="1011"/>
      <c r="D17" s="1011"/>
      <c r="E17" s="1011"/>
      <c r="F17" s="1011"/>
      <c r="G17" s="1011"/>
      <c r="H17" s="1011"/>
      <c r="I17" s="1011"/>
      <c r="J17" s="1011"/>
    </row>
    <row r="18" spans="3:10">
      <c r="C18" s="1011"/>
      <c r="D18" s="1011"/>
      <c r="E18" s="1011"/>
      <c r="F18" s="1011"/>
      <c r="G18" s="1011"/>
      <c r="H18" s="1011"/>
      <c r="I18" s="1011"/>
      <c r="J18" s="1011"/>
    </row>
    <row r="19" spans="3:10">
      <c r="C19" s="1011"/>
      <c r="D19" s="1011"/>
      <c r="E19" s="1011"/>
      <c r="F19" s="1011"/>
      <c r="G19" s="1011"/>
      <c r="H19" s="1011"/>
      <c r="I19" s="1011"/>
      <c r="J19" s="1011"/>
    </row>
    <row r="24" spans="3:10" ht="12.75" customHeight="1"/>
  </sheetData>
  <sheetProtection password="E23E" sheet="1" objects="1" scenarios="1"/>
  <mergeCells count="2">
    <mergeCell ref="B8:D8"/>
    <mergeCell ref="B4:D4"/>
  </mergeCells>
  <conditionalFormatting sqref="A1">
    <cfRule type="expression" dxfId="54" priority="4" stopIfTrue="1">
      <formula>$E$4=0</formula>
    </cfRule>
  </conditionalFormatting>
  <conditionalFormatting sqref="B1:F1">
    <cfRule type="expression" dxfId="53" priority="3" stopIfTrue="1">
      <formula>$E$4=0</formula>
    </cfRule>
  </conditionalFormatting>
  <conditionalFormatting sqref="B12:C13">
    <cfRule type="expression" dxfId="52" priority="2" stopIfTrue="1">
      <formula>$E$4=0</formula>
    </cfRule>
  </conditionalFormatting>
  <conditionalFormatting sqref="A2">
    <cfRule type="expression" dxfId="51" priority="1" stopIfTrue="1">
      <formula>#REF!=0</formula>
    </cfRule>
  </conditionalFormatting>
  <dataValidations count="1">
    <dataValidation type="custom" allowBlank="1" showErrorMessage="1" errorTitle="Number less than 0" error="You are trying to enter a number which is less than 0, please re-enter a valid number." sqref="B12:C13">
      <formula1>B12&gt;=0</formula1>
    </dataValidation>
  </dataValidations>
  <printOptions horizontalCentered="1" verticalCentered="1"/>
  <pageMargins left="0.2" right="0.19" top="0.2" bottom="0.25" header="0.17" footer="0.16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N35"/>
  <sheetViews>
    <sheetView zoomScale="75" zoomScaleNormal="75" workbookViewId="0"/>
  </sheetViews>
  <sheetFormatPr defaultColWidth="9.7109375" defaultRowHeight="18.75"/>
  <cols>
    <col min="1" max="1" width="56.7109375" style="1012" customWidth="1"/>
    <col min="2" max="14" width="14.7109375" style="1012" customWidth="1"/>
    <col min="15" max="15" width="14.7109375" style="1014" customWidth="1"/>
    <col min="16" max="17" width="2.7109375" style="1012" customWidth="1"/>
    <col min="18" max="18" width="23.7109375" style="1012" customWidth="1"/>
    <col min="19" max="19" width="30.7109375" style="1012" customWidth="1"/>
    <col min="20" max="20" width="12.7109375" style="1012" customWidth="1"/>
    <col min="21" max="21" width="32.7109375" style="1012" customWidth="1"/>
    <col min="22" max="22" width="8.7109375" style="1012" customWidth="1"/>
    <col min="23" max="23" width="23.7109375" style="1012" customWidth="1"/>
    <col min="24" max="24" width="30.7109375" style="1012" customWidth="1"/>
    <col min="25" max="25" width="12.7109375" style="1012" customWidth="1"/>
    <col min="26" max="26" width="32.7109375" style="1012" customWidth="1"/>
    <col min="27" max="28" width="12.7109375" style="1012" customWidth="1"/>
    <col min="29" max="29" width="9.7109375" style="1012" customWidth="1"/>
    <col min="30" max="30" width="9.7109375" style="1012" hidden="1" customWidth="1"/>
    <col min="31" max="34" width="14.7109375" style="1012" hidden="1" customWidth="1"/>
    <col min="35" max="35" width="8.7109375" style="1012" hidden="1" customWidth="1"/>
    <col min="36" max="39" width="14.7109375" style="1012" hidden="1" customWidth="1"/>
    <col min="40" max="40" width="9.7109375" style="1012" hidden="1" customWidth="1"/>
    <col min="41" max="254" width="9.7109375" style="1012" customWidth="1"/>
    <col min="255" max="16384" width="9.7109375" style="1012"/>
  </cols>
  <sheetData>
    <row r="1" spans="1:39" ht="50.1" customHeight="1">
      <c r="A1" s="271" t="str">
        <f>IF(E4=0,"Your Institution Does Not Complete This Table","")</f>
        <v/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6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</row>
    <row r="2" spans="1:39" s="1016" customFormat="1" ht="30" customHeight="1">
      <c r="A2" s="626" t="s">
        <v>267</v>
      </c>
      <c r="B2" s="462"/>
      <c r="C2" s="462"/>
      <c r="D2" s="463"/>
      <c r="E2" s="463"/>
      <c r="F2" s="463"/>
      <c r="G2" s="463"/>
      <c r="H2" s="463"/>
      <c r="I2" s="463"/>
      <c r="J2" s="463"/>
      <c r="K2" s="463"/>
      <c r="L2" s="464"/>
      <c r="M2" s="464"/>
      <c r="N2" s="465"/>
      <c r="O2" s="466"/>
      <c r="P2" s="12"/>
      <c r="Q2" s="866"/>
      <c r="R2" s="467"/>
      <c r="S2" s="467"/>
      <c r="T2" s="467"/>
      <c r="U2" s="467"/>
      <c r="V2" s="467"/>
      <c r="W2" s="467"/>
      <c r="X2" s="467"/>
      <c r="Y2" s="467"/>
      <c r="Z2" s="467"/>
      <c r="AA2" s="467"/>
      <c r="AB2" s="467"/>
      <c r="AC2" s="1015"/>
      <c r="AD2" s="1015"/>
      <c r="AE2" s="1015"/>
      <c r="AF2" s="1015"/>
      <c r="AG2" s="1015"/>
      <c r="AH2" s="1015"/>
      <c r="AI2" s="1015"/>
      <c r="AJ2" s="1015"/>
    </row>
    <row r="3" spans="1:39" ht="15" customHeight="1" thickBot="1">
      <c r="A3" s="468"/>
      <c r="B3" s="469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470"/>
      <c r="Q3" s="867"/>
      <c r="R3" s="471"/>
      <c r="S3" s="471"/>
      <c r="T3" s="471"/>
      <c r="U3" s="471"/>
      <c r="V3" s="471"/>
      <c r="W3" s="471"/>
      <c r="X3" s="471"/>
      <c r="Y3" s="471"/>
      <c r="Z3" s="471"/>
      <c r="AA3" s="471"/>
      <c r="AB3" s="471"/>
      <c r="AC3" s="1015"/>
      <c r="AD3" s="1015"/>
      <c r="AE3" s="1015"/>
      <c r="AF3" s="1015"/>
      <c r="AG3" s="1015"/>
      <c r="AH3" s="1017"/>
      <c r="AI3" s="1015"/>
      <c r="AJ3" s="1015"/>
    </row>
    <row r="4" spans="1:39" ht="35.1" customHeight="1" thickBot="1">
      <c r="A4" s="870" t="s">
        <v>0</v>
      </c>
      <c r="B4" s="1249" t="str">
        <f>Background!$D$2</f>
        <v>Glasgow, University of</v>
      </c>
      <c r="C4" s="1250"/>
      <c r="D4" s="1251"/>
      <c r="E4" s="263">
        <f>VLOOKUP(Background!$C$2,Inst_Tables,6,FALSE)</f>
        <v>1</v>
      </c>
      <c r="F4" s="263"/>
      <c r="G4" s="263"/>
      <c r="H4" s="263"/>
      <c r="I4" s="263"/>
      <c r="J4" s="6"/>
      <c r="K4" s="6"/>
      <c r="L4" s="6"/>
      <c r="M4" s="6"/>
      <c r="N4" s="6"/>
      <c r="O4" s="6"/>
      <c r="P4" s="473"/>
      <c r="Q4" s="868"/>
      <c r="R4" s="471"/>
      <c r="S4" s="471"/>
      <c r="T4" s="471"/>
      <c r="U4" s="471"/>
      <c r="V4" s="471"/>
      <c r="W4" s="471"/>
      <c r="X4" s="471"/>
      <c r="Y4" s="471"/>
      <c r="Z4" s="471"/>
      <c r="AA4" s="471"/>
      <c r="AB4" s="471"/>
      <c r="AC4" s="1015"/>
      <c r="AD4" s="1017"/>
      <c r="AH4" s="1018"/>
      <c r="AI4" s="1015"/>
      <c r="AJ4" s="1019"/>
      <c r="AK4" s="1019"/>
      <c r="AL4" s="1019"/>
      <c r="AM4" s="1019"/>
    </row>
    <row r="5" spans="1:39" ht="35.1" customHeight="1">
      <c r="A5" s="1028" t="s">
        <v>268</v>
      </c>
      <c r="B5" s="475"/>
      <c r="C5" s="475"/>
      <c r="D5" s="475"/>
      <c r="E5" s="475"/>
      <c r="F5" s="475"/>
      <c r="G5" s="475"/>
      <c r="H5" s="475"/>
      <c r="I5" s="475"/>
      <c r="J5" s="475"/>
      <c r="K5" s="475"/>
      <c r="L5" s="475"/>
      <c r="M5" s="475"/>
      <c r="N5" s="475"/>
      <c r="O5" s="476"/>
      <c r="P5" s="477"/>
      <c r="Q5" s="621"/>
      <c r="R5" s="471"/>
      <c r="S5" s="471"/>
      <c r="T5" s="471"/>
      <c r="U5" s="471"/>
      <c r="V5" s="471"/>
      <c r="W5" s="471"/>
      <c r="X5" s="471"/>
      <c r="Y5" s="471"/>
      <c r="Z5" s="471"/>
      <c r="AA5" s="471"/>
      <c r="AB5" s="471"/>
      <c r="AC5" s="1015"/>
      <c r="AD5" s="1017"/>
      <c r="AE5" s="1018"/>
      <c r="AF5" s="1018"/>
      <c r="AG5" s="1018"/>
      <c r="AH5" s="1018"/>
      <c r="AI5" s="1017"/>
      <c r="AJ5" s="1019"/>
      <c r="AK5" s="1019"/>
      <c r="AL5" s="1019"/>
      <c r="AM5" s="1019"/>
    </row>
    <row r="6" spans="1:39" ht="30" customHeight="1">
      <c r="A6" s="273" t="s">
        <v>398</v>
      </c>
      <c r="B6" s="475"/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6"/>
      <c r="P6" s="477"/>
      <c r="Q6" s="621"/>
      <c r="R6" s="471"/>
      <c r="S6" s="471"/>
      <c r="T6" s="471"/>
      <c r="U6" s="471"/>
      <c r="V6" s="471"/>
      <c r="W6" s="471"/>
      <c r="X6" s="471"/>
      <c r="Y6" s="471"/>
      <c r="Z6" s="471"/>
      <c r="AA6" s="471"/>
      <c r="AB6" s="471"/>
      <c r="AC6" s="1015"/>
      <c r="AD6" s="1017"/>
      <c r="AE6" s="1018"/>
      <c r="AF6" s="1018"/>
      <c r="AG6" s="1018"/>
      <c r="AH6" s="1018"/>
      <c r="AI6" s="1017"/>
      <c r="AJ6" s="1019"/>
      <c r="AK6" s="1019"/>
      <c r="AL6" s="1019"/>
      <c r="AM6" s="1019"/>
    </row>
    <row r="7" spans="1:39" ht="15" customHeight="1" thickBot="1">
      <c r="A7" s="474"/>
      <c r="B7" s="475"/>
      <c r="C7" s="475"/>
      <c r="D7" s="475"/>
      <c r="E7" s="475"/>
      <c r="F7" s="475"/>
      <c r="G7" s="475"/>
      <c r="H7" s="475"/>
      <c r="I7" s="475"/>
      <c r="J7" s="475"/>
      <c r="K7" s="475"/>
      <c r="L7" s="475"/>
      <c r="M7" s="475"/>
      <c r="N7" s="475"/>
      <c r="O7" s="476"/>
      <c r="P7" s="477"/>
      <c r="Q7" s="621"/>
      <c r="R7" s="471"/>
      <c r="S7" s="471"/>
      <c r="T7" s="471"/>
      <c r="U7" s="471"/>
      <c r="V7" s="471"/>
      <c r="W7" s="471"/>
      <c r="X7" s="471"/>
      <c r="Y7" s="471"/>
      <c r="Z7" s="471"/>
      <c r="AA7" s="471"/>
      <c r="AB7" s="471"/>
      <c r="AC7" s="1015"/>
      <c r="AD7" s="1017"/>
      <c r="AE7" s="1018"/>
      <c r="AF7" s="1018"/>
      <c r="AG7" s="1018"/>
      <c r="AH7" s="1018"/>
      <c r="AI7" s="1017"/>
      <c r="AJ7" s="1019"/>
      <c r="AK7" s="1019"/>
      <c r="AL7" s="1019"/>
      <c r="AM7" s="1019"/>
    </row>
    <row r="8" spans="1:39" ht="39.950000000000003" customHeight="1" thickBot="1">
      <c r="A8" s="1262" t="s">
        <v>46</v>
      </c>
      <c r="B8" s="1263"/>
      <c r="C8" s="1263"/>
      <c r="D8" s="1263"/>
      <c r="E8" s="1263"/>
      <c r="F8" s="1263"/>
      <c r="G8" s="1263"/>
      <c r="H8" s="1263"/>
      <c r="I8" s="1263"/>
      <c r="J8" s="1263"/>
      <c r="K8" s="1263"/>
      <c r="L8" s="1263"/>
      <c r="M8" s="1263"/>
      <c r="N8" s="1263"/>
      <c r="O8" s="1264"/>
      <c r="P8" s="477"/>
      <c r="Q8" s="621"/>
      <c r="R8" s="860"/>
      <c r="S8" s="860"/>
      <c r="T8" s="860"/>
      <c r="U8" s="860"/>
      <c r="V8" s="471"/>
      <c r="W8" s="863"/>
      <c r="X8" s="863"/>
      <c r="Y8" s="863"/>
      <c r="Z8" s="863"/>
      <c r="AA8" s="471"/>
      <c r="AB8" s="471"/>
      <c r="AC8" s="1015"/>
      <c r="AD8" s="1017"/>
      <c r="AE8" s="1020"/>
      <c r="AF8" s="1019"/>
      <c r="AG8" s="1019"/>
      <c r="AH8" s="1019"/>
      <c r="AI8" s="1017"/>
      <c r="AK8" s="1019"/>
      <c r="AL8" s="1019"/>
      <c r="AM8" s="1019"/>
    </row>
    <row r="9" spans="1:39" ht="39.950000000000003" customHeight="1" thickBot="1">
      <c r="A9" s="852"/>
      <c r="B9" s="1258" t="s">
        <v>299</v>
      </c>
      <c r="C9" s="1259"/>
      <c r="D9" s="1259"/>
      <c r="E9" s="1259"/>
      <c r="F9" s="1259"/>
      <c r="G9" s="1259"/>
      <c r="H9" s="1259"/>
      <c r="I9" s="1259"/>
      <c r="J9" s="1259"/>
      <c r="K9" s="1259"/>
      <c r="L9" s="1259"/>
      <c r="M9" s="1259"/>
      <c r="N9" s="1260"/>
      <c r="O9" s="1261" t="s">
        <v>244</v>
      </c>
      <c r="P9" s="477"/>
      <c r="Q9" s="621"/>
      <c r="R9" s="724"/>
      <c r="S9" s="724"/>
      <c r="T9" s="724"/>
      <c r="U9" s="724"/>
      <c r="V9" s="471"/>
      <c r="W9" s="864"/>
      <c r="X9" s="864"/>
      <c r="Y9" s="864"/>
      <c r="Z9" s="864"/>
      <c r="AA9" s="471"/>
      <c r="AB9" s="471"/>
      <c r="AE9" s="1268" t="s">
        <v>18</v>
      </c>
      <c r="AF9" s="1269"/>
      <c r="AG9" s="1269"/>
      <c r="AH9" s="1270"/>
      <c r="AI9" s="1017"/>
      <c r="AJ9" s="1268" t="s">
        <v>47</v>
      </c>
      <c r="AK9" s="1269"/>
      <c r="AL9" s="1269"/>
      <c r="AM9" s="1270"/>
    </row>
    <row r="10" spans="1:39" ht="39.950000000000003" customHeight="1">
      <c r="A10" s="881"/>
      <c r="B10" s="1258" t="s">
        <v>18</v>
      </c>
      <c r="C10" s="1259"/>
      <c r="D10" s="1259"/>
      <c r="E10" s="1259"/>
      <c r="F10" s="1259"/>
      <c r="G10" s="1259"/>
      <c r="H10" s="1260"/>
      <c r="I10" s="1258" t="s">
        <v>47</v>
      </c>
      <c r="J10" s="1259"/>
      <c r="K10" s="1259"/>
      <c r="L10" s="1259"/>
      <c r="M10" s="1260"/>
      <c r="N10" s="786" t="s">
        <v>2</v>
      </c>
      <c r="O10" s="1261"/>
      <c r="P10" s="477"/>
      <c r="Q10" s="621"/>
      <c r="R10" s="1277" t="s">
        <v>18</v>
      </c>
      <c r="S10" s="1278"/>
      <c r="T10" s="1278"/>
      <c r="U10" s="1279"/>
      <c r="V10" s="471"/>
      <c r="W10" s="1277" t="s">
        <v>47</v>
      </c>
      <c r="X10" s="1278"/>
      <c r="Y10" s="1278"/>
      <c r="Z10" s="1279"/>
      <c r="AA10" s="471"/>
      <c r="AB10" s="471"/>
      <c r="AE10" s="1265" t="s">
        <v>369</v>
      </c>
      <c r="AF10" s="1267" t="s">
        <v>370</v>
      </c>
      <c r="AG10" s="1267" t="s">
        <v>371</v>
      </c>
      <c r="AH10" s="1280" t="s">
        <v>380</v>
      </c>
      <c r="AI10" s="1017"/>
      <c r="AJ10" s="1265" t="s">
        <v>369</v>
      </c>
      <c r="AK10" s="1267" t="s">
        <v>370</v>
      </c>
      <c r="AL10" s="1267" t="s">
        <v>371</v>
      </c>
      <c r="AM10" s="1280" t="s">
        <v>380</v>
      </c>
    </row>
    <row r="11" spans="1:39" ht="60" customHeight="1">
      <c r="A11" s="880" t="s">
        <v>298</v>
      </c>
      <c r="B11" s="850" t="s">
        <v>180</v>
      </c>
      <c r="C11" s="854">
        <v>0</v>
      </c>
      <c r="D11" s="851" t="s">
        <v>40</v>
      </c>
      <c r="E11" s="851" t="s">
        <v>28</v>
      </c>
      <c r="F11" s="851" t="s">
        <v>29</v>
      </c>
      <c r="G11" s="851" t="s">
        <v>30</v>
      </c>
      <c r="H11" s="861" t="s">
        <v>327</v>
      </c>
      <c r="I11" s="850" t="s">
        <v>180</v>
      </c>
      <c r="J11" s="851" t="s">
        <v>29</v>
      </c>
      <c r="K11" s="851" t="s">
        <v>30</v>
      </c>
      <c r="L11" s="851" t="s">
        <v>31</v>
      </c>
      <c r="M11" s="861" t="s">
        <v>327</v>
      </c>
      <c r="N11" s="490"/>
      <c r="O11" s="1261"/>
      <c r="P11" s="477"/>
      <c r="Q11" s="621"/>
      <c r="R11" s="1274" t="s">
        <v>374</v>
      </c>
      <c r="S11" s="1234" t="s">
        <v>375</v>
      </c>
      <c r="T11" s="1272" t="s">
        <v>250</v>
      </c>
      <c r="U11" s="1273"/>
      <c r="V11" s="471"/>
      <c r="W11" s="1274" t="s">
        <v>374</v>
      </c>
      <c r="X11" s="1234" t="s">
        <v>375</v>
      </c>
      <c r="Y11" s="1272" t="s">
        <v>250</v>
      </c>
      <c r="Z11" s="1273"/>
      <c r="AA11" s="471"/>
      <c r="AB11" s="471"/>
      <c r="AE11" s="1265"/>
      <c r="AF11" s="1267"/>
      <c r="AG11" s="1267"/>
      <c r="AH11" s="1280"/>
      <c r="AI11" s="1017"/>
      <c r="AJ11" s="1265"/>
      <c r="AK11" s="1267"/>
      <c r="AL11" s="1267"/>
      <c r="AM11" s="1280"/>
    </row>
    <row r="12" spans="1:39" ht="35.1" customHeight="1" thickBot="1">
      <c r="A12" s="882"/>
      <c r="B12" s="490" t="s">
        <v>32</v>
      </c>
      <c r="C12" s="491" t="s">
        <v>32</v>
      </c>
      <c r="D12" s="490" t="s">
        <v>32</v>
      </c>
      <c r="E12" s="490" t="s">
        <v>32</v>
      </c>
      <c r="F12" s="490" t="s">
        <v>32</v>
      </c>
      <c r="G12" s="490" t="s">
        <v>32</v>
      </c>
      <c r="H12" s="490" t="s">
        <v>32</v>
      </c>
      <c r="I12" s="490" t="s">
        <v>32</v>
      </c>
      <c r="J12" s="490" t="s">
        <v>32</v>
      </c>
      <c r="K12" s="490" t="s">
        <v>32</v>
      </c>
      <c r="L12" s="490" t="s">
        <v>32</v>
      </c>
      <c r="M12" s="490" t="s">
        <v>32</v>
      </c>
      <c r="N12" s="490" t="s">
        <v>32</v>
      </c>
      <c r="O12" s="496" t="s">
        <v>32</v>
      </c>
      <c r="P12" s="477"/>
      <c r="Q12" s="621"/>
      <c r="R12" s="1275"/>
      <c r="S12" s="1235"/>
      <c r="T12" s="1234" t="s">
        <v>379</v>
      </c>
      <c r="U12" s="492" t="s">
        <v>112</v>
      </c>
      <c r="V12" s="471"/>
      <c r="W12" s="1275"/>
      <c r="X12" s="1235"/>
      <c r="Y12" s="1234" t="s">
        <v>379</v>
      </c>
      <c r="Z12" s="492" t="s">
        <v>112</v>
      </c>
      <c r="AA12" s="471"/>
      <c r="AB12" s="471"/>
      <c r="AE12" s="1266"/>
      <c r="AF12" s="1021"/>
      <c r="AG12" s="1021"/>
      <c r="AH12" s="1281"/>
      <c r="AJ12" s="1266"/>
      <c r="AK12" s="1021"/>
      <c r="AL12" s="1021"/>
      <c r="AM12" s="1281"/>
    </row>
    <row r="13" spans="1:39" ht="45" customHeight="1">
      <c r="A13" s="853"/>
      <c r="B13" s="856" t="s">
        <v>48</v>
      </c>
      <c r="C13" s="857" t="s">
        <v>48</v>
      </c>
      <c r="D13" s="856" t="s">
        <v>48</v>
      </c>
      <c r="E13" s="856" t="s">
        <v>48</v>
      </c>
      <c r="F13" s="856" t="s">
        <v>48</v>
      </c>
      <c r="G13" s="856" t="s">
        <v>48</v>
      </c>
      <c r="H13" s="855" t="s">
        <v>179</v>
      </c>
      <c r="I13" s="856" t="s">
        <v>48</v>
      </c>
      <c r="J13" s="856" t="s">
        <v>48</v>
      </c>
      <c r="K13" s="856" t="s">
        <v>48</v>
      </c>
      <c r="L13" s="856" t="s">
        <v>48</v>
      </c>
      <c r="M13" s="855" t="s">
        <v>179</v>
      </c>
      <c r="N13" s="855" t="s">
        <v>179</v>
      </c>
      <c r="O13" s="858" t="s">
        <v>48</v>
      </c>
      <c r="P13" s="477"/>
      <c r="Q13" s="621"/>
      <c r="R13" s="1276"/>
      <c r="S13" s="1271"/>
      <c r="T13" s="1271"/>
      <c r="U13" s="862"/>
      <c r="V13" s="471"/>
      <c r="W13" s="1276"/>
      <c r="X13" s="1271"/>
      <c r="Y13" s="1271"/>
      <c r="Z13" s="862"/>
      <c r="AA13" s="471"/>
      <c r="AB13" s="471"/>
      <c r="AE13" s="999" t="s">
        <v>103</v>
      </c>
      <c r="AF13" s="999" t="s">
        <v>103</v>
      </c>
      <c r="AG13" s="999" t="s">
        <v>103</v>
      </c>
      <c r="AH13" s="999" t="s">
        <v>103</v>
      </c>
      <c r="AI13" s="1010"/>
      <c r="AJ13" s="999" t="s">
        <v>103</v>
      </c>
      <c r="AK13" s="999" t="s">
        <v>103</v>
      </c>
      <c r="AL13" s="999" t="s">
        <v>103</v>
      </c>
      <c r="AM13" s="999" t="s">
        <v>103</v>
      </c>
    </row>
    <row r="14" spans="1:39" ht="30" customHeight="1">
      <c r="A14" s="720" t="s">
        <v>296</v>
      </c>
      <c r="B14" s="654">
        <v>155</v>
      </c>
      <c r="C14" s="655"/>
      <c r="D14" s="653">
        <v>161</v>
      </c>
      <c r="E14" s="653">
        <v>162</v>
      </c>
      <c r="F14" s="779"/>
      <c r="G14" s="779"/>
      <c r="H14" s="718">
        <f>SUM(C14:G14)</f>
        <v>323</v>
      </c>
      <c r="I14" s="653">
        <v>23</v>
      </c>
      <c r="J14" s="653">
        <v>267</v>
      </c>
      <c r="K14" s="653">
        <v>246</v>
      </c>
      <c r="L14" s="654">
        <v>240</v>
      </c>
      <c r="M14" s="718">
        <f>SUM(J14:L14)</f>
        <v>753</v>
      </c>
      <c r="N14" s="718">
        <f>SUM(H14,M14)</f>
        <v>1076</v>
      </c>
      <c r="O14" s="1160">
        <v>63</v>
      </c>
      <c r="P14" s="477"/>
      <c r="Q14" s="621"/>
      <c r="R14" s="569" t="str">
        <f>IF(AE14=1,Intake_missing,IF(AF14=1,Only_intake_recorded,"OK"))</f>
        <v>OK</v>
      </c>
      <c r="S14" s="359" t="str">
        <f>IF(OR(AG14=1,AH14=1),Intake_inconsistent,"OK")</f>
        <v>OK</v>
      </c>
      <c r="T14" s="622">
        <f>H14-'Table 1'!$P30</f>
        <v>0</v>
      </c>
      <c r="U14" s="570" t="str">
        <f>IF(ABS(T14)&gt;0.1,"Does not equal figure in Table 1","OK")</f>
        <v>OK</v>
      </c>
      <c r="V14" s="471"/>
      <c r="W14" s="569" t="str">
        <f>IF(AJ14=1,Intake_missing,IF(AK14=1,Only_intake_recorded,"OK"))</f>
        <v>OK</v>
      </c>
      <c r="X14" s="359" t="str">
        <f>IF(OR(AL14=1,AM14=1),Intake_inconsistent,"OK")</f>
        <v>OK</v>
      </c>
      <c r="Y14" s="622">
        <f>M14-'Table 1'!$P28</f>
        <v>0</v>
      </c>
      <c r="Z14" s="570" t="str">
        <f>IF(ABS(Y14)&gt;0.1,"Does not equal figure in Table 1","OK")</f>
        <v>OK</v>
      </c>
      <c r="AA14" s="471"/>
      <c r="AB14" s="471"/>
      <c r="AE14" s="1022">
        <f>IF(AND($B14=0,$H14&gt;0),1,0)</f>
        <v>0</v>
      </c>
      <c r="AF14" s="1022">
        <f>IF(AND($B14&gt;0,$H14=0),1,0)</f>
        <v>0</v>
      </c>
      <c r="AG14" s="1022">
        <f>IF($B14&gt;$H14,1,0)</f>
        <v>0</v>
      </c>
      <c r="AH14" s="1022">
        <f>IF(AND($B14&gt;0,$B14=$H14),1,0)</f>
        <v>0</v>
      </c>
      <c r="AI14" s="1023"/>
      <c r="AJ14" s="1022">
        <f>IF(AND($I14=0,$M14&gt;0),1,0)</f>
        <v>0</v>
      </c>
      <c r="AK14" s="1022">
        <f>IF(AND($I14&gt;0,$M14=0),1,0)</f>
        <v>0</v>
      </c>
      <c r="AL14" s="1022">
        <f>IF($I14&gt;$M14,1,0)</f>
        <v>0</v>
      </c>
      <c r="AM14" s="1022">
        <f>IF(AND($I14&gt;0,$I14=$M14),1,0)</f>
        <v>0</v>
      </c>
    </row>
    <row r="15" spans="1:39" ht="30" customHeight="1">
      <c r="A15" s="720" t="s">
        <v>360</v>
      </c>
      <c r="B15" s="654">
        <v>59</v>
      </c>
      <c r="C15" s="655"/>
      <c r="D15" s="653">
        <v>59</v>
      </c>
      <c r="E15" s="653">
        <v>52</v>
      </c>
      <c r="F15" s="779"/>
      <c r="G15" s="779"/>
      <c r="H15" s="718">
        <f>SUM(C15:G15)</f>
        <v>111</v>
      </c>
      <c r="I15" s="653"/>
      <c r="J15" s="653">
        <v>4</v>
      </c>
      <c r="K15" s="653"/>
      <c r="L15" s="654"/>
      <c r="M15" s="718">
        <f>SUM(J15:L15)</f>
        <v>4</v>
      </c>
      <c r="N15" s="718">
        <f>SUM(H15,M15)</f>
        <v>115</v>
      </c>
      <c r="O15" s="1160"/>
      <c r="P15" s="477"/>
      <c r="Q15" s="621"/>
      <c r="R15" s="569" t="str">
        <f>IF(AE15=1,Intake_missing,IF(AF15=1,Only_intake_recorded,"OK"))</f>
        <v>OK</v>
      </c>
      <c r="S15" s="359" t="str">
        <f>IF(OR(AG15=1,AH15=1),Intake_inconsistent,"OK")</f>
        <v>OK</v>
      </c>
      <c r="T15" s="622">
        <f>H15-'Table 1'!$U30</f>
        <v>0</v>
      </c>
      <c r="U15" s="570" t="str">
        <f>IF(ABS(T15)&gt;0.1,"Does not equal figure in Table 1","OK")</f>
        <v>OK</v>
      </c>
      <c r="V15" s="471"/>
      <c r="W15" s="569" t="str">
        <f>IF(AJ15=1,Intake_missing,IF(AK15=1,Only_intake_recorded,"OK"))</f>
        <v>Intake missing?</v>
      </c>
      <c r="X15" s="359" t="str">
        <f>IF(OR(AL15=1,AM15=1),Intake_inconsistent,"OK")</f>
        <v>OK</v>
      </c>
      <c r="Y15" s="622">
        <f>M15-'Table 1'!$U28</f>
        <v>0</v>
      </c>
      <c r="Z15" s="570" t="str">
        <f>IF(ABS(Y15)&gt;0.1,"Does not equal figure in Table 1","OK")</f>
        <v>OK</v>
      </c>
      <c r="AA15" s="471"/>
      <c r="AB15" s="471"/>
      <c r="AE15" s="1022">
        <f t="shared" ref="AE15:AE19" si="0">IF(AND($B15=0,$H15&gt;0),1,0)</f>
        <v>0</v>
      </c>
      <c r="AF15" s="1022">
        <f t="shared" ref="AF15:AF19" si="1">IF(AND($B15&gt;0,$H15=0),1,0)</f>
        <v>0</v>
      </c>
      <c r="AG15" s="1022">
        <f t="shared" ref="AG15:AG19" si="2">IF($B15&gt;$H15,1,0)</f>
        <v>0</v>
      </c>
      <c r="AH15" s="1022">
        <f t="shared" ref="AH15:AH19" si="3">IF(AND($B15&gt;0,$B15=$H15),1,0)</f>
        <v>0</v>
      </c>
      <c r="AI15" s="1023"/>
      <c r="AJ15" s="1022">
        <f>IF(AND($I15=0,$M15&gt;0),1,0)</f>
        <v>1</v>
      </c>
      <c r="AK15" s="1022">
        <f>IF(AND($I15&gt;0,$M15=0),1,0)</f>
        <v>0</v>
      </c>
      <c r="AL15" s="1022">
        <f>IF($I15&gt;$M15,1,0)</f>
        <v>0</v>
      </c>
      <c r="AM15" s="1022">
        <f>IF(AND($I15&gt;0,$I15=$M15),1,0)</f>
        <v>0</v>
      </c>
    </row>
    <row r="16" spans="1:39" ht="30" customHeight="1">
      <c r="A16" s="848" t="s">
        <v>297</v>
      </c>
      <c r="B16" s="785"/>
      <c r="C16" s="1161"/>
      <c r="D16" s="1162"/>
      <c r="E16" s="1162"/>
      <c r="F16" s="1162"/>
      <c r="G16" s="1162"/>
      <c r="H16" s="1162"/>
      <c r="I16" s="1162"/>
      <c r="J16" s="1162"/>
      <c r="K16" s="1162"/>
      <c r="L16" s="785"/>
      <c r="M16" s="1162"/>
      <c r="N16" s="783"/>
      <c r="O16" s="784"/>
      <c r="P16" s="477"/>
      <c r="Q16" s="621"/>
      <c r="R16" s="581"/>
      <c r="S16" s="359"/>
      <c r="T16" s="622"/>
      <c r="U16" s="570"/>
      <c r="V16" s="471"/>
      <c r="W16" s="581"/>
      <c r="X16" s="359"/>
      <c r="Y16" s="622"/>
      <c r="Z16" s="570"/>
      <c r="AA16" s="471"/>
      <c r="AB16" s="471"/>
      <c r="AE16" s="1024"/>
      <c r="AF16" s="1024"/>
      <c r="AG16" s="1024"/>
      <c r="AH16" s="1024"/>
      <c r="AI16" s="1023"/>
      <c r="AJ16" s="1010"/>
    </row>
    <row r="17" spans="1:39" ht="30" customHeight="1">
      <c r="A17" s="780" t="s">
        <v>325</v>
      </c>
      <c r="B17" s="654"/>
      <c r="C17" s="779"/>
      <c r="D17" s="654"/>
      <c r="E17" s="654"/>
      <c r="F17" s="779"/>
      <c r="G17" s="779"/>
      <c r="H17" s="718">
        <f>SUM(C17:G17)</f>
        <v>0</v>
      </c>
      <c r="I17" s="654">
        <v>15</v>
      </c>
      <c r="J17" s="654">
        <v>15</v>
      </c>
      <c r="K17" s="654">
        <v>12</v>
      </c>
      <c r="L17" s="654">
        <v>10</v>
      </c>
      <c r="M17" s="718">
        <f t="shared" ref="M17:M19" si="4">SUM(J17:L17)</f>
        <v>37</v>
      </c>
      <c r="N17" s="718">
        <f t="shared" ref="N17:N20" si="5">SUM(H17,M17)</f>
        <v>37</v>
      </c>
      <c r="O17" s="1160"/>
      <c r="P17" s="477"/>
      <c r="Q17" s="621"/>
      <c r="R17" s="569" t="str">
        <f>IF(AE17=1,Intake_missing,IF(AF17=1,Only_intake_recorded,"OK"))</f>
        <v>OK</v>
      </c>
      <c r="S17" s="359" t="str">
        <f>IF(OR(AG17=1,AH17=1),Intake_inconsistent,"OK")</f>
        <v>OK</v>
      </c>
      <c r="T17" s="622"/>
      <c r="U17" s="570"/>
      <c r="V17" s="471"/>
      <c r="W17" s="569" t="str">
        <f>IF(AJ17=1,Intake_missing,IF(AK17=1,Only_intake_recorded,"OK"))</f>
        <v>OK</v>
      </c>
      <c r="X17" s="359" t="str">
        <f>IF(OR(AL17=1,AM17=1),Intake_inconsistent,"OK")</f>
        <v>OK</v>
      </c>
      <c r="Y17" s="622"/>
      <c r="Z17" s="570"/>
      <c r="AA17" s="471"/>
      <c r="AB17" s="471"/>
      <c r="AE17" s="1022">
        <f t="shared" si="0"/>
        <v>0</v>
      </c>
      <c r="AF17" s="1022">
        <f t="shared" si="1"/>
        <v>0</v>
      </c>
      <c r="AG17" s="1022">
        <f t="shared" si="2"/>
        <v>0</v>
      </c>
      <c r="AH17" s="1022">
        <f t="shared" si="3"/>
        <v>0</v>
      </c>
      <c r="AI17" s="1023"/>
      <c r="AJ17" s="1022">
        <f t="shared" ref="AJ17:AJ19" si="6">IF(AND($I17=0,$M17&gt;0),1,0)</f>
        <v>0</v>
      </c>
      <c r="AK17" s="1022">
        <f t="shared" ref="AK17:AK19" si="7">IF(AND($I17&gt;0,$M17=0),1,0)</f>
        <v>0</v>
      </c>
      <c r="AL17" s="1022">
        <f t="shared" ref="AL17:AL19" si="8">IF($I17&gt;$M17,1,0)</f>
        <v>0</v>
      </c>
      <c r="AM17" s="1022">
        <f t="shared" ref="AM17:AM19" si="9">IF(AND($I17&gt;0,$I17=$M17),1,0)</f>
        <v>0</v>
      </c>
    </row>
    <row r="18" spans="1:39" ht="30" customHeight="1">
      <c r="A18" s="780" t="s">
        <v>326</v>
      </c>
      <c r="B18" s="654"/>
      <c r="C18" s="779"/>
      <c r="D18" s="654"/>
      <c r="E18" s="654"/>
      <c r="F18" s="779"/>
      <c r="G18" s="779"/>
      <c r="H18" s="718">
        <f>SUM(C18:G18)</f>
        <v>0</v>
      </c>
      <c r="I18" s="654"/>
      <c r="J18" s="654"/>
      <c r="K18" s="654"/>
      <c r="L18" s="654"/>
      <c r="M18" s="718">
        <f t="shared" si="4"/>
        <v>0</v>
      </c>
      <c r="N18" s="718">
        <f t="shared" si="5"/>
        <v>0</v>
      </c>
      <c r="O18" s="1160"/>
      <c r="P18" s="477"/>
      <c r="Q18" s="621"/>
      <c r="R18" s="569" t="str">
        <f>IF(AE18=1,Intake_missing,IF(AF18=1,Only_intake_recorded,"OK"))</f>
        <v>OK</v>
      </c>
      <c r="S18" s="359" t="str">
        <f>IF(OR(AG18=1,AH18=1),Intake_inconsistent,"OK")</f>
        <v>OK</v>
      </c>
      <c r="T18" s="622"/>
      <c r="U18" s="570"/>
      <c r="V18" s="471"/>
      <c r="W18" s="569" t="str">
        <f>IF(AJ18=1,Intake_missing,IF(AK18=1,Only_intake_recorded,"OK"))</f>
        <v>OK</v>
      </c>
      <c r="X18" s="359" t="str">
        <f>IF(OR(AL18=1,AM18=1),Intake_inconsistent,"OK")</f>
        <v>OK</v>
      </c>
      <c r="Y18" s="622"/>
      <c r="Z18" s="570"/>
      <c r="AA18" s="471"/>
      <c r="AB18" s="471"/>
      <c r="AE18" s="1022">
        <f t="shared" si="0"/>
        <v>0</v>
      </c>
      <c r="AF18" s="1022">
        <f t="shared" si="1"/>
        <v>0</v>
      </c>
      <c r="AG18" s="1022">
        <f t="shared" si="2"/>
        <v>0</v>
      </c>
      <c r="AH18" s="1022">
        <f t="shared" si="3"/>
        <v>0</v>
      </c>
      <c r="AI18" s="1023"/>
      <c r="AJ18" s="1022">
        <f t="shared" si="6"/>
        <v>0</v>
      </c>
      <c r="AK18" s="1022">
        <f t="shared" si="7"/>
        <v>0</v>
      </c>
      <c r="AL18" s="1022">
        <f t="shared" si="8"/>
        <v>0</v>
      </c>
      <c r="AM18" s="1022">
        <f t="shared" si="9"/>
        <v>0</v>
      </c>
    </row>
    <row r="19" spans="1:39" ht="30" customHeight="1" thickBot="1">
      <c r="A19" s="780" t="s">
        <v>118</v>
      </c>
      <c r="B19" s="654">
        <v>18</v>
      </c>
      <c r="C19" s="779"/>
      <c r="D19" s="654">
        <v>18</v>
      </c>
      <c r="E19" s="654">
        <v>24</v>
      </c>
      <c r="F19" s="779"/>
      <c r="G19" s="779"/>
      <c r="H19" s="718">
        <f>SUM(C19:G19)</f>
        <v>42</v>
      </c>
      <c r="I19" s="654"/>
      <c r="J19" s="654">
        <v>32</v>
      </c>
      <c r="K19" s="654">
        <v>30</v>
      </c>
      <c r="L19" s="654">
        <v>22</v>
      </c>
      <c r="M19" s="718">
        <f t="shared" si="4"/>
        <v>84</v>
      </c>
      <c r="N19" s="718">
        <f>SUM(H19,M19)</f>
        <v>126</v>
      </c>
      <c r="O19" s="1160"/>
      <c r="P19" s="477"/>
      <c r="Q19" s="621"/>
      <c r="R19" s="577" t="str">
        <f>IF(AE19=1,Intake_missing,IF(AF19=1,Only_intake_recorded,"OK"))</f>
        <v>OK</v>
      </c>
      <c r="S19" s="591" t="str">
        <f>IF(OR(AG19=1,AH19=1),Intake_inconsistent,"OK")</f>
        <v>OK</v>
      </c>
      <c r="T19" s="876"/>
      <c r="U19" s="877"/>
      <c r="V19" s="471"/>
      <c r="W19" s="577" t="str">
        <f>IF(AJ19=1,Intake_missing,IF(AK19=1,Only_intake_recorded,"OK"))</f>
        <v>Intake missing?</v>
      </c>
      <c r="X19" s="591" t="str">
        <f>IF(OR(AL19=1,AM19=1),Intake_inconsistent,"OK")</f>
        <v>OK</v>
      </c>
      <c r="Y19" s="876"/>
      <c r="Z19" s="877"/>
      <c r="AA19" s="471"/>
      <c r="AB19" s="471"/>
      <c r="AE19" s="1022">
        <f t="shared" si="0"/>
        <v>0</v>
      </c>
      <c r="AF19" s="1022">
        <f t="shared" si="1"/>
        <v>0</v>
      </c>
      <c r="AG19" s="1022">
        <f t="shared" si="2"/>
        <v>0</v>
      </c>
      <c r="AH19" s="1022">
        <f t="shared" si="3"/>
        <v>0</v>
      </c>
      <c r="AI19" s="1023"/>
      <c r="AJ19" s="1022">
        <f t="shared" si="6"/>
        <v>1</v>
      </c>
      <c r="AK19" s="1022">
        <f t="shared" si="7"/>
        <v>0</v>
      </c>
      <c r="AL19" s="1022">
        <f t="shared" si="8"/>
        <v>0</v>
      </c>
      <c r="AM19" s="1022">
        <f t="shared" si="9"/>
        <v>0</v>
      </c>
    </row>
    <row r="20" spans="1:39" ht="30" customHeight="1">
      <c r="A20" s="782" t="s">
        <v>373</v>
      </c>
      <c r="B20" s="1163">
        <f>SUM(B17:B19)</f>
        <v>18</v>
      </c>
      <c r="C20" s="1163">
        <f t="shared" ref="C20:L20" si="10">SUM(C17:C19)</f>
        <v>0</v>
      </c>
      <c r="D20" s="1163">
        <f t="shared" si="10"/>
        <v>18</v>
      </c>
      <c r="E20" s="1163">
        <f t="shared" si="10"/>
        <v>24</v>
      </c>
      <c r="F20" s="1163">
        <f t="shared" si="10"/>
        <v>0</v>
      </c>
      <c r="G20" s="1163">
        <f t="shared" si="10"/>
        <v>0</v>
      </c>
      <c r="H20" s="1163">
        <f>SUM(H17:H19)</f>
        <v>42</v>
      </c>
      <c r="I20" s="1163">
        <f t="shared" si="10"/>
        <v>15</v>
      </c>
      <c r="J20" s="1163">
        <f t="shared" si="10"/>
        <v>47</v>
      </c>
      <c r="K20" s="1163">
        <f t="shared" si="10"/>
        <v>42</v>
      </c>
      <c r="L20" s="1163">
        <f t="shared" si="10"/>
        <v>32</v>
      </c>
      <c r="M20" s="1163">
        <f>SUM(M17:M19)</f>
        <v>121</v>
      </c>
      <c r="N20" s="718">
        <f t="shared" si="5"/>
        <v>163</v>
      </c>
      <c r="O20" s="787">
        <f>SUM(O17:O19)</f>
        <v>0</v>
      </c>
      <c r="P20" s="477"/>
      <c r="Q20" s="621"/>
      <c r="R20" s="878"/>
      <c r="S20" s="878"/>
      <c r="T20" s="879"/>
      <c r="U20" s="878"/>
      <c r="V20" s="471"/>
      <c r="W20" s="471"/>
      <c r="X20" s="471"/>
      <c r="Y20" s="471"/>
      <c r="Z20" s="471"/>
      <c r="AA20" s="471"/>
      <c r="AB20" s="471"/>
      <c r="AE20" s="1024"/>
      <c r="AF20" s="1024"/>
      <c r="AG20" s="1024"/>
      <c r="AH20" s="1024"/>
      <c r="AI20" s="1023"/>
      <c r="AJ20" s="1010"/>
    </row>
    <row r="21" spans="1:39" ht="30" customHeight="1" thickBot="1">
      <c r="A21" s="723" t="s">
        <v>2</v>
      </c>
      <c r="B21" s="1164">
        <f>SUM(B14,B15,B20)</f>
        <v>232</v>
      </c>
      <c r="C21" s="1164">
        <f t="shared" ref="C21:M21" si="11">SUM(C14,C15,C20)</f>
        <v>0</v>
      </c>
      <c r="D21" s="1164">
        <f t="shared" si="11"/>
        <v>238</v>
      </c>
      <c r="E21" s="1164">
        <f t="shared" si="11"/>
        <v>238</v>
      </c>
      <c r="F21" s="1164">
        <f t="shared" si="11"/>
        <v>0</v>
      </c>
      <c r="G21" s="1164">
        <f t="shared" si="11"/>
        <v>0</v>
      </c>
      <c r="H21" s="1164">
        <f t="shared" si="11"/>
        <v>476</v>
      </c>
      <c r="I21" s="1164">
        <f t="shared" si="11"/>
        <v>38</v>
      </c>
      <c r="J21" s="1164">
        <f t="shared" si="11"/>
        <v>318</v>
      </c>
      <c r="K21" s="1164">
        <f t="shared" si="11"/>
        <v>288</v>
      </c>
      <c r="L21" s="1164">
        <f t="shared" si="11"/>
        <v>272</v>
      </c>
      <c r="M21" s="1164">
        <f t="shared" si="11"/>
        <v>878</v>
      </c>
      <c r="N21" s="873">
        <f>SUM(H21,M21)</f>
        <v>1354</v>
      </c>
      <c r="O21" s="722">
        <f>SUM(O14:O16)</f>
        <v>63</v>
      </c>
      <c r="P21" s="477"/>
      <c r="Q21" s="621"/>
      <c r="R21" s="878"/>
      <c r="S21" s="878"/>
      <c r="T21" s="879"/>
      <c r="U21" s="878"/>
      <c r="V21" s="471"/>
      <c r="W21" s="471"/>
      <c r="X21" s="471"/>
      <c r="Y21" s="471"/>
      <c r="Z21" s="471"/>
      <c r="AA21" s="471"/>
      <c r="AB21" s="471"/>
      <c r="AE21" s="1024"/>
      <c r="AF21" s="1024"/>
      <c r="AG21" s="1024"/>
      <c r="AH21" s="1024"/>
      <c r="AI21" s="1023"/>
      <c r="AJ21" s="1010"/>
    </row>
    <row r="22" spans="1:39" ht="30" customHeight="1" thickBot="1">
      <c r="A22" s="871"/>
      <c r="B22" s="721"/>
      <c r="C22" s="721"/>
      <c r="D22" s="721"/>
      <c r="E22" s="721"/>
      <c r="F22" s="721"/>
      <c r="G22" s="721"/>
      <c r="H22" s="721"/>
      <c r="I22" s="721"/>
      <c r="J22" s="721"/>
      <c r="K22" s="721"/>
      <c r="L22" s="721"/>
      <c r="M22" s="721"/>
      <c r="N22" s="859"/>
      <c r="O22" s="859"/>
      <c r="P22" s="477"/>
      <c r="Q22" s="621"/>
      <c r="R22" s="864"/>
      <c r="S22" s="864"/>
      <c r="T22" s="865"/>
      <c r="U22" s="864"/>
      <c r="V22" s="471"/>
      <c r="W22" s="471"/>
      <c r="X22" s="471"/>
      <c r="Y22" s="471"/>
      <c r="Z22" s="471"/>
      <c r="AA22" s="471"/>
      <c r="AB22" s="471"/>
      <c r="AE22" s="1022"/>
      <c r="AF22" s="1022"/>
      <c r="AG22" s="1025"/>
      <c r="AH22" s="1026"/>
      <c r="AI22" s="1023"/>
      <c r="AJ22" s="1010"/>
    </row>
    <row r="23" spans="1:39" ht="39.950000000000003" customHeight="1">
      <c r="A23" s="1262" t="s">
        <v>256</v>
      </c>
      <c r="B23" s="1263"/>
      <c r="C23" s="1263"/>
      <c r="D23" s="1263"/>
      <c r="E23" s="1263"/>
      <c r="F23" s="1263"/>
      <c r="G23" s="1263"/>
      <c r="H23" s="1263"/>
      <c r="I23" s="1263"/>
      <c r="J23" s="1263"/>
      <c r="K23" s="1263"/>
      <c r="L23" s="1263"/>
      <c r="M23" s="1264"/>
      <c r="N23" s="860"/>
      <c r="O23" s="860"/>
      <c r="P23" s="477"/>
      <c r="Q23" s="621"/>
      <c r="R23" s="864"/>
      <c r="S23" s="864"/>
      <c r="T23" s="865"/>
      <c r="U23" s="864"/>
      <c r="V23" s="471"/>
      <c r="W23" s="471"/>
      <c r="X23" s="471"/>
      <c r="Y23" s="471"/>
      <c r="Z23" s="471"/>
      <c r="AA23" s="471"/>
      <c r="AB23" s="471"/>
      <c r="AE23" s="1022"/>
      <c r="AF23" s="1022"/>
      <c r="AG23" s="1025"/>
      <c r="AH23" s="1026"/>
      <c r="AI23" s="1023"/>
      <c r="AJ23" s="1010"/>
    </row>
    <row r="24" spans="1:39" ht="39.950000000000003" customHeight="1" thickBot="1">
      <c r="A24" s="852"/>
      <c r="B24" s="1258" t="s">
        <v>299</v>
      </c>
      <c r="C24" s="1259"/>
      <c r="D24" s="1259"/>
      <c r="E24" s="1259"/>
      <c r="F24" s="1259"/>
      <c r="G24" s="1259"/>
      <c r="H24" s="1259"/>
      <c r="I24" s="1259"/>
      <c r="J24" s="1259"/>
      <c r="K24" s="1259"/>
      <c r="L24" s="1260"/>
      <c r="M24" s="1261" t="s">
        <v>244</v>
      </c>
      <c r="N24" s="860"/>
      <c r="O24" s="860"/>
      <c r="P24" s="477"/>
      <c r="Q24" s="621"/>
      <c r="R24" s="864"/>
      <c r="S24" s="864"/>
      <c r="T24" s="865"/>
      <c r="U24" s="864"/>
      <c r="V24" s="471"/>
      <c r="W24" s="471"/>
      <c r="X24" s="471"/>
      <c r="Y24" s="471"/>
      <c r="Z24" s="471"/>
      <c r="AA24" s="471"/>
      <c r="AB24" s="471"/>
      <c r="AE24" s="1022"/>
      <c r="AF24" s="1022"/>
      <c r="AG24" s="1025"/>
      <c r="AH24" s="1026"/>
      <c r="AI24" s="1023"/>
      <c r="AJ24" s="1010"/>
    </row>
    <row r="25" spans="1:39" ht="39.950000000000003" customHeight="1">
      <c r="A25" s="881"/>
      <c r="B25" s="1258" t="s">
        <v>18</v>
      </c>
      <c r="C25" s="1259"/>
      <c r="D25" s="1259"/>
      <c r="E25" s="849"/>
      <c r="F25" s="1258" t="s">
        <v>47</v>
      </c>
      <c r="G25" s="1259"/>
      <c r="H25" s="1259"/>
      <c r="I25" s="1259"/>
      <c r="J25" s="1259"/>
      <c r="K25" s="1260"/>
      <c r="L25" s="786" t="s">
        <v>2</v>
      </c>
      <c r="M25" s="1261"/>
      <c r="N25" s="860"/>
      <c r="O25" s="860"/>
      <c r="P25" s="477"/>
      <c r="Q25" s="621"/>
      <c r="R25" s="1277" t="s">
        <v>18</v>
      </c>
      <c r="S25" s="1278"/>
      <c r="T25" s="1278"/>
      <c r="U25" s="1279"/>
      <c r="V25" s="471"/>
      <c r="W25" s="1277" t="s">
        <v>47</v>
      </c>
      <c r="X25" s="1278"/>
      <c r="Y25" s="1278"/>
      <c r="Z25" s="1279"/>
      <c r="AA25" s="471"/>
      <c r="AB25" s="471"/>
      <c r="AE25" s="1022"/>
      <c r="AF25" s="1022"/>
      <c r="AG25" s="1025"/>
      <c r="AH25" s="1026"/>
      <c r="AI25" s="1023"/>
      <c r="AJ25" s="1010"/>
    </row>
    <row r="26" spans="1:39" ht="60" customHeight="1">
      <c r="A26" s="880" t="s">
        <v>298</v>
      </c>
      <c r="B26" s="850" t="s">
        <v>180</v>
      </c>
      <c r="C26" s="854">
        <v>0</v>
      </c>
      <c r="D26" s="851" t="s">
        <v>40</v>
      </c>
      <c r="E26" s="861" t="s">
        <v>327</v>
      </c>
      <c r="F26" s="850" t="s">
        <v>180</v>
      </c>
      <c r="G26" s="851" t="s">
        <v>28</v>
      </c>
      <c r="H26" s="851" t="s">
        <v>29</v>
      </c>
      <c r="I26" s="851" t="s">
        <v>30</v>
      </c>
      <c r="J26" s="851" t="s">
        <v>31</v>
      </c>
      <c r="K26" s="861" t="s">
        <v>327</v>
      </c>
      <c r="L26" s="490"/>
      <c r="M26" s="1261"/>
      <c r="N26" s="860"/>
      <c r="O26" s="860"/>
      <c r="P26" s="477"/>
      <c r="Q26" s="621"/>
      <c r="R26" s="1274" t="s">
        <v>374</v>
      </c>
      <c r="S26" s="1234" t="s">
        <v>375</v>
      </c>
      <c r="T26" s="1272" t="s">
        <v>250</v>
      </c>
      <c r="U26" s="1273"/>
      <c r="V26" s="471"/>
      <c r="W26" s="1274" t="s">
        <v>383</v>
      </c>
      <c r="X26" s="1234" t="s">
        <v>375</v>
      </c>
      <c r="Y26" s="1272" t="s">
        <v>250</v>
      </c>
      <c r="Z26" s="1273"/>
      <c r="AA26" s="471"/>
      <c r="AB26" s="471"/>
      <c r="AE26" s="1022"/>
      <c r="AF26" s="1022"/>
      <c r="AG26" s="1025"/>
      <c r="AH26" s="1026"/>
      <c r="AI26" s="1023"/>
      <c r="AJ26" s="1010"/>
    </row>
    <row r="27" spans="1:39" ht="35.1" customHeight="1">
      <c r="A27" s="882"/>
      <c r="B27" s="490" t="s">
        <v>32</v>
      </c>
      <c r="C27" s="491" t="s">
        <v>32</v>
      </c>
      <c r="D27" s="490" t="s">
        <v>32</v>
      </c>
      <c r="E27" s="490" t="s">
        <v>32</v>
      </c>
      <c r="F27" s="490" t="s">
        <v>32</v>
      </c>
      <c r="G27" s="490" t="s">
        <v>32</v>
      </c>
      <c r="H27" s="490" t="s">
        <v>32</v>
      </c>
      <c r="I27" s="490" t="s">
        <v>32</v>
      </c>
      <c r="J27" s="490" t="s">
        <v>32</v>
      </c>
      <c r="K27" s="490" t="s">
        <v>32</v>
      </c>
      <c r="L27" s="490" t="s">
        <v>32</v>
      </c>
      <c r="M27" s="496" t="s">
        <v>32</v>
      </c>
      <c r="N27" s="860"/>
      <c r="O27" s="860"/>
      <c r="P27" s="477"/>
      <c r="Q27" s="621"/>
      <c r="R27" s="1275"/>
      <c r="S27" s="1235"/>
      <c r="T27" s="1234" t="s">
        <v>379</v>
      </c>
      <c r="U27" s="492" t="s">
        <v>112</v>
      </c>
      <c r="V27" s="471"/>
      <c r="W27" s="1275"/>
      <c r="X27" s="1235"/>
      <c r="Y27" s="1234" t="s">
        <v>379</v>
      </c>
      <c r="Z27" s="492" t="s">
        <v>112</v>
      </c>
      <c r="AA27" s="471"/>
      <c r="AB27" s="471"/>
      <c r="AE27" s="1022"/>
      <c r="AF27" s="1022"/>
      <c r="AG27" s="1025"/>
      <c r="AH27" s="1026"/>
      <c r="AI27" s="1023"/>
      <c r="AJ27" s="1010"/>
    </row>
    <row r="28" spans="1:39" ht="45" customHeight="1">
      <c r="A28" s="853"/>
      <c r="B28" s="856" t="s">
        <v>48</v>
      </c>
      <c r="C28" s="857" t="s">
        <v>48</v>
      </c>
      <c r="D28" s="856" t="s">
        <v>48</v>
      </c>
      <c r="E28" s="855" t="s">
        <v>179</v>
      </c>
      <c r="F28" s="856" t="s">
        <v>48</v>
      </c>
      <c r="G28" s="856" t="s">
        <v>48</v>
      </c>
      <c r="H28" s="856" t="s">
        <v>48</v>
      </c>
      <c r="I28" s="856" t="s">
        <v>48</v>
      </c>
      <c r="J28" s="856" t="s">
        <v>48</v>
      </c>
      <c r="K28" s="855" t="s">
        <v>179</v>
      </c>
      <c r="L28" s="855" t="s">
        <v>179</v>
      </c>
      <c r="M28" s="497" t="s">
        <v>48</v>
      </c>
      <c r="N28" s="860"/>
      <c r="O28" s="724"/>
      <c r="P28" s="477"/>
      <c r="Q28" s="621"/>
      <c r="R28" s="1276"/>
      <c r="S28" s="1271"/>
      <c r="T28" s="1271"/>
      <c r="U28" s="862"/>
      <c r="V28" s="471"/>
      <c r="W28" s="1276"/>
      <c r="X28" s="1271"/>
      <c r="Y28" s="1271"/>
      <c r="Z28" s="862"/>
      <c r="AA28" s="471"/>
      <c r="AB28" s="471"/>
      <c r="AE28" s="1022"/>
      <c r="AF28" s="1022"/>
      <c r="AG28" s="1025"/>
      <c r="AH28" s="1026"/>
      <c r="AI28" s="1023"/>
      <c r="AJ28" s="1010"/>
    </row>
    <row r="29" spans="1:39" ht="30" customHeight="1">
      <c r="A29" s="720" t="s">
        <v>296</v>
      </c>
      <c r="B29" s="654">
        <v>64</v>
      </c>
      <c r="C29" s="655"/>
      <c r="D29" s="653">
        <v>65</v>
      </c>
      <c r="E29" s="718">
        <f>SUM(C29:D29)</f>
        <v>65</v>
      </c>
      <c r="F29" s="654"/>
      <c r="G29" s="654">
        <v>76</v>
      </c>
      <c r="H29" s="654">
        <v>85</v>
      </c>
      <c r="I29" s="654">
        <v>83</v>
      </c>
      <c r="J29" s="654">
        <v>86</v>
      </c>
      <c r="K29" s="718">
        <f>SUM(G29:J29)</f>
        <v>330</v>
      </c>
      <c r="L29" s="719">
        <f>SUM(E29,K29)</f>
        <v>395</v>
      </c>
      <c r="M29" s="1165"/>
      <c r="N29" s="860"/>
      <c r="O29" s="860"/>
      <c r="P29" s="477"/>
      <c r="Q29" s="621"/>
      <c r="R29" s="569" t="str">
        <f>IF(AE29=1,Intake_missing,IF(AF29=1,Only_intake_recorded,"OK"))</f>
        <v>OK</v>
      </c>
      <c r="S29" s="359" t="str">
        <f>IF(OR(AG29=1,AH29=1),Intake_inconsistent,"OK")</f>
        <v>OK</v>
      </c>
      <c r="T29" s="622">
        <f>E29-'Table 1'!$P31</f>
        <v>0</v>
      </c>
      <c r="U29" s="570" t="str">
        <f>IF(ABS(T29)&gt;0.1,"Does not equal figure in Table 1","OK")</f>
        <v>OK</v>
      </c>
      <c r="V29" s="471"/>
      <c r="W29" s="569" t="str">
        <f>IF(AK29=1,Only_intake_recorded,"OK")</f>
        <v>OK</v>
      </c>
      <c r="X29" s="359" t="str">
        <f>IF(OR(AL29=1,AM29=1),Intake_inconsistent,"OK")</f>
        <v>OK</v>
      </c>
      <c r="Y29" s="622">
        <f>K29-'Table 1'!$P29</f>
        <v>0</v>
      </c>
      <c r="Z29" s="570" t="str">
        <f>IF(ABS(Y29)&gt;0.1,"Does not equal figure in Table 1","OK")</f>
        <v>OK</v>
      </c>
      <c r="AA29" s="471"/>
      <c r="AB29" s="471"/>
      <c r="AE29" s="1022">
        <f>IF(AND($B29=0,$E29&gt;0),1,0)</f>
        <v>0</v>
      </c>
      <c r="AF29" s="1022">
        <f>IF(AND($B29&gt;0,$E29=0),1,0)</f>
        <v>0</v>
      </c>
      <c r="AG29" s="1022">
        <f>IF($B29&gt;$E29,1,0)</f>
        <v>0</v>
      </c>
      <c r="AH29" s="1022">
        <f>IF(AND($B29&gt;0,$B29=$E29),1,0)</f>
        <v>0</v>
      </c>
      <c r="AI29" s="1023"/>
      <c r="AJ29" s="1022"/>
      <c r="AK29" s="1022">
        <f>IF(AND($F29&gt;0,$K29=0),1,0)</f>
        <v>0</v>
      </c>
      <c r="AL29" s="1022">
        <f>IF($F29&gt;$K29,1,0)</f>
        <v>0</v>
      </c>
      <c r="AM29" s="1022">
        <f>IF(AND($F29&gt;0,$F29=$K29),1,0)</f>
        <v>0</v>
      </c>
    </row>
    <row r="30" spans="1:39" ht="30" customHeight="1">
      <c r="A30" s="720" t="s">
        <v>360</v>
      </c>
      <c r="B30" s="654">
        <v>16</v>
      </c>
      <c r="C30" s="655"/>
      <c r="D30" s="653">
        <v>17</v>
      </c>
      <c r="E30" s="718">
        <f t="shared" ref="E30:E31" si="12">SUM(C30:D30)</f>
        <v>17</v>
      </c>
      <c r="F30" s="654"/>
      <c r="G30" s="654">
        <v>9</v>
      </c>
      <c r="H30" s="654"/>
      <c r="I30" s="654"/>
      <c r="J30" s="654"/>
      <c r="K30" s="718">
        <f t="shared" ref="K30:K31" si="13">SUM(G30:J30)</f>
        <v>9</v>
      </c>
      <c r="L30" s="719">
        <f t="shared" ref="L30:L31" si="14">SUM(E30,K30)</f>
        <v>26</v>
      </c>
      <c r="M30" s="1165"/>
      <c r="N30" s="860"/>
      <c r="O30" s="860"/>
      <c r="P30" s="477"/>
      <c r="Q30" s="621"/>
      <c r="R30" s="569" t="str">
        <f>IF(AE30=1,Intake_missing,IF(AF30=1,Only_intake_recorded,"OK"))</f>
        <v>OK</v>
      </c>
      <c r="S30" s="359" t="str">
        <f>IF(OR(AG30=1,AH30=1),Intake_inconsistent,"OK")</f>
        <v>OK</v>
      </c>
      <c r="T30" s="622">
        <f>E30-'Table 1'!$U31</f>
        <v>0</v>
      </c>
      <c r="U30" s="570" t="str">
        <f>IF(ABS(T30)&gt;0.1,"Does not equal figure in Table 1","OK")</f>
        <v>OK</v>
      </c>
      <c r="V30" s="471"/>
      <c r="W30" s="569" t="str">
        <f>IF(AK30=1,Only_intake_recorded,"OK")</f>
        <v>OK</v>
      </c>
      <c r="X30" s="359" t="str">
        <f>IF(OR(AL30=1,AM30=1),Intake_inconsistent,"OK")</f>
        <v>OK</v>
      </c>
      <c r="Y30" s="622">
        <f>K30-'Table 1'!$U29</f>
        <v>0</v>
      </c>
      <c r="Z30" s="570" t="str">
        <f>IF(ABS(Y30)&gt;0.1,"Does not equal figure in Table 1","OK")</f>
        <v>OK</v>
      </c>
      <c r="AA30" s="471"/>
      <c r="AB30" s="471"/>
      <c r="AE30" s="1022">
        <f>IF(AND($B30=0,$E30&gt;0),1,0)</f>
        <v>0</v>
      </c>
      <c r="AF30" s="1022">
        <f>IF(AND($B30&gt;0,$E30=0),1,0)</f>
        <v>0</v>
      </c>
      <c r="AG30" s="1022">
        <f>IF($B30&gt;$E30,1,0)</f>
        <v>0</v>
      </c>
      <c r="AH30" s="1022">
        <f>IF(AND($B30&gt;0,$B30=$E30),1,0)</f>
        <v>0</v>
      </c>
      <c r="AI30" s="1023"/>
      <c r="AJ30" s="1022"/>
      <c r="AK30" s="1022">
        <f>IF(AND($F30&gt;0,$K30=0),1,0)</f>
        <v>0</v>
      </c>
      <c r="AL30" s="1022">
        <f>IF($F30&gt;$K30,1,0)</f>
        <v>0</v>
      </c>
      <c r="AM30" s="1022">
        <f>IF(AND($F30&gt;0,$F30=$K30),1,0)</f>
        <v>0</v>
      </c>
    </row>
    <row r="31" spans="1:39" ht="30" customHeight="1" thickBot="1">
      <c r="A31" s="720" t="s">
        <v>297</v>
      </c>
      <c r="B31" s="654">
        <v>10</v>
      </c>
      <c r="C31" s="655"/>
      <c r="D31" s="653">
        <v>10</v>
      </c>
      <c r="E31" s="718">
        <f t="shared" si="12"/>
        <v>10</v>
      </c>
      <c r="F31" s="654"/>
      <c r="G31" s="654">
        <v>3</v>
      </c>
      <c r="H31" s="654">
        <v>3</v>
      </c>
      <c r="I31" s="654">
        <v>4</v>
      </c>
      <c r="J31" s="654">
        <v>7</v>
      </c>
      <c r="K31" s="718">
        <f t="shared" si="13"/>
        <v>17</v>
      </c>
      <c r="L31" s="719">
        <f t="shared" si="14"/>
        <v>27</v>
      </c>
      <c r="M31" s="1165"/>
      <c r="N31" s="860"/>
      <c r="O31" s="860"/>
      <c r="P31" s="477"/>
      <c r="Q31" s="621"/>
      <c r="R31" s="577" t="str">
        <f>IF(AE31=1,Intake_missing,IF(AF31=1,Only_intake_recorded,"OK"))</f>
        <v>OK</v>
      </c>
      <c r="S31" s="591" t="str">
        <f>IF(OR(AG31=1,AH31=1),Intake_inconsistent,"OK")</f>
        <v>Intake inconsistent with enrolments?</v>
      </c>
      <c r="T31" s="876"/>
      <c r="U31" s="877"/>
      <c r="V31" s="471"/>
      <c r="W31" s="577" t="str">
        <f>IF(AK31=1,Only_intake_recorded,"OK")</f>
        <v>OK</v>
      </c>
      <c r="X31" s="591" t="str">
        <f>IF(OR(AL31=1,AM31=1),Intake_inconsistent,"OK")</f>
        <v>OK</v>
      </c>
      <c r="Y31" s="876"/>
      <c r="Z31" s="877"/>
      <c r="AA31" s="471"/>
      <c r="AB31" s="471"/>
      <c r="AE31" s="1022">
        <f>IF(AND($B31=0,$E31&gt;0),1,0)</f>
        <v>0</v>
      </c>
      <c r="AF31" s="1022">
        <f>IF(AND($B31&gt;0,$E31=0),1,0)</f>
        <v>0</v>
      </c>
      <c r="AG31" s="1022">
        <f>IF($B31&gt;$E31,1,0)</f>
        <v>0</v>
      </c>
      <c r="AH31" s="1022">
        <f>IF(AND($B31&gt;0,$B31=$E31),1,0)</f>
        <v>1</v>
      </c>
      <c r="AI31" s="1023"/>
      <c r="AJ31" s="1022"/>
      <c r="AK31" s="1022">
        <f>IF(AND($F31&gt;0,$K31=0),1,0)</f>
        <v>0</v>
      </c>
      <c r="AL31" s="1022">
        <f>IF($F31&gt;$K31,1,0)</f>
        <v>0</v>
      </c>
      <c r="AM31" s="1022">
        <f>IF(AND($F31&gt;0,$F31=$K31),1,0)</f>
        <v>0</v>
      </c>
    </row>
    <row r="32" spans="1:39" ht="30" customHeight="1" thickBot="1">
      <c r="A32" s="723" t="s">
        <v>2</v>
      </c>
      <c r="B32" s="1164">
        <f>SUM(B29:B31)</f>
        <v>90</v>
      </c>
      <c r="C32" s="1166">
        <f>SUM(C29:C31)</f>
        <v>0</v>
      </c>
      <c r="D32" s="1164">
        <f>SUM(D29:D31)</f>
        <v>92</v>
      </c>
      <c r="E32" s="1164">
        <f>SUM(E29:E31)</f>
        <v>92</v>
      </c>
      <c r="F32" s="1164">
        <f t="shared" ref="F32:I32" si="15">SUM(F29:F31)</f>
        <v>0</v>
      </c>
      <c r="G32" s="1164">
        <f t="shared" si="15"/>
        <v>88</v>
      </c>
      <c r="H32" s="1164">
        <f t="shared" si="15"/>
        <v>88</v>
      </c>
      <c r="I32" s="1164">
        <f t="shared" si="15"/>
        <v>87</v>
      </c>
      <c r="J32" s="1164">
        <f t="shared" ref="J32" si="16">SUM(J29:J31)</f>
        <v>93</v>
      </c>
      <c r="K32" s="1164">
        <f t="shared" ref="K32:L32" si="17">SUM(K29:K31)</f>
        <v>356</v>
      </c>
      <c r="L32" s="1164">
        <f t="shared" si="17"/>
        <v>448</v>
      </c>
      <c r="M32" s="722">
        <f>SUM(M29:M31)</f>
        <v>0</v>
      </c>
      <c r="N32" s="860"/>
      <c r="O32" s="724"/>
      <c r="P32" s="477"/>
      <c r="Q32" s="621"/>
      <c r="R32" s="656"/>
      <c r="S32" s="656"/>
      <c r="T32" s="874"/>
      <c r="U32" s="875"/>
      <c r="V32" s="471"/>
      <c r="W32" s="471"/>
      <c r="X32" s="471"/>
      <c r="Y32" s="471"/>
      <c r="Z32" s="471"/>
      <c r="AA32" s="471"/>
      <c r="AB32" s="471"/>
      <c r="AE32" s="1022"/>
      <c r="AF32" s="1022"/>
      <c r="AG32" s="1025"/>
      <c r="AH32" s="1026"/>
      <c r="AI32" s="1023"/>
    </row>
    <row r="33" spans="1:28" s="1027" customFormat="1" ht="30" customHeight="1">
      <c r="A33" s="872" t="s">
        <v>328</v>
      </c>
      <c r="B33" s="781"/>
      <c r="C33" s="781"/>
      <c r="D33" s="781"/>
      <c r="E33" s="781"/>
      <c r="F33" s="781"/>
      <c r="G33" s="781"/>
      <c r="H33" s="781"/>
      <c r="I33" s="781"/>
      <c r="J33" s="781"/>
      <c r="K33" s="781"/>
      <c r="L33" s="781"/>
      <c r="M33" s="781"/>
      <c r="N33" s="781"/>
      <c r="O33" s="781"/>
      <c r="P33" s="479"/>
      <c r="Q33" s="869"/>
      <c r="R33" s="480"/>
      <c r="S33" s="480"/>
      <c r="T33" s="480"/>
      <c r="U33" s="480"/>
      <c r="V33" s="480"/>
      <c r="W33" s="480"/>
      <c r="X33" s="480"/>
      <c r="Y33" s="480"/>
      <c r="Z33" s="480"/>
      <c r="AA33" s="480"/>
      <c r="AB33" s="480"/>
    </row>
    <row r="34" spans="1:28" s="1027" customFormat="1" ht="30" customHeight="1">
      <c r="A34" s="245"/>
      <c r="B34" s="481"/>
      <c r="C34" s="482"/>
      <c r="D34" s="482"/>
      <c r="E34" s="482"/>
      <c r="F34" s="482"/>
      <c r="G34" s="482"/>
      <c r="H34" s="482"/>
      <c r="I34" s="482"/>
      <c r="J34" s="482"/>
      <c r="K34" s="482"/>
      <c r="L34" s="482"/>
      <c r="M34" s="482"/>
      <c r="N34" s="482"/>
      <c r="O34" s="482"/>
      <c r="P34" s="483"/>
      <c r="Q34" s="869"/>
      <c r="R34" s="480"/>
      <c r="S34" s="480"/>
      <c r="T34" s="484"/>
      <c r="U34" s="484"/>
      <c r="V34" s="480"/>
      <c r="W34" s="480"/>
      <c r="X34" s="480"/>
      <c r="Y34" s="480"/>
      <c r="Z34" s="480"/>
      <c r="AA34" s="480"/>
      <c r="AB34" s="480"/>
    </row>
    <row r="35" spans="1:28" ht="12.75" customHeight="1">
      <c r="B35" s="1013"/>
      <c r="C35" s="1009"/>
      <c r="D35" s="1009"/>
      <c r="E35" s="1009"/>
      <c r="F35" s="1009"/>
      <c r="G35" s="1009"/>
      <c r="H35" s="1009"/>
      <c r="I35" s="1009"/>
      <c r="J35" s="1009"/>
      <c r="K35" s="1009"/>
      <c r="L35" s="1009"/>
      <c r="M35" s="1009"/>
      <c r="N35" s="1009"/>
      <c r="O35" s="1009"/>
      <c r="P35" s="1009"/>
      <c r="Q35" s="1009"/>
      <c r="R35" s="1009"/>
      <c r="S35" s="1009"/>
    </row>
  </sheetData>
  <sheetProtection password="E23E" sheet="1" objects="1" scenarios="1"/>
  <mergeCells count="41">
    <mergeCell ref="AJ9:AM9"/>
    <mergeCell ref="AH10:AH12"/>
    <mergeCell ref="AM10:AM12"/>
    <mergeCell ref="AJ10:AJ12"/>
    <mergeCell ref="AK10:AK11"/>
    <mergeCell ref="AL10:AL11"/>
    <mergeCell ref="R26:R28"/>
    <mergeCell ref="S26:S28"/>
    <mergeCell ref="T26:U26"/>
    <mergeCell ref="T27:T28"/>
    <mergeCell ref="W25:Z25"/>
    <mergeCell ref="W26:W28"/>
    <mergeCell ref="X26:X28"/>
    <mergeCell ref="Y26:Z26"/>
    <mergeCell ref="Y27:Y28"/>
    <mergeCell ref="W11:W13"/>
    <mergeCell ref="X11:X13"/>
    <mergeCell ref="Y11:Z11"/>
    <mergeCell ref="Y12:Y13"/>
    <mergeCell ref="R25:U25"/>
    <mergeCell ref="AE10:AE12"/>
    <mergeCell ref="AF10:AF11"/>
    <mergeCell ref="AG10:AG11"/>
    <mergeCell ref="AE9:AH9"/>
    <mergeCell ref="B4:D4"/>
    <mergeCell ref="O9:O11"/>
    <mergeCell ref="B9:N9"/>
    <mergeCell ref="B10:H10"/>
    <mergeCell ref="I10:M10"/>
    <mergeCell ref="T12:T13"/>
    <mergeCell ref="A8:O8"/>
    <mergeCell ref="T11:U11"/>
    <mergeCell ref="R11:R13"/>
    <mergeCell ref="S11:S13"/>
    <mergeCell ref="R10:U10"/>
    <mergeCell ref="W10:Z10"/>
    <mergeCell ref="B25:D25"/>
    <mergeCell ref="F25:K25"/>
    <mergeCell ref="M24:M26"/>
    <mergeCell ref="B24:L24"/>
    <mergeCell ref="A23:M23"/>
  </mergeCells>
  <conditionalFormatting sqref="F29:J31">
    <cfRule type="expression" dxfId="50" priority="17">
      <formula>$E$4=4</formula>
    </cfRule>
    <cfRule type="expression" dxfId="49" priority="18">
      <formula>$E$4=3</formula>
    </cfRule>
    <cfRule type="expression" dxfId="48" priority="34" stopIfTrue="1">
      <formula>$E$4=0</formula>
    </cfRule>
  </conditionalFormatting>
  <conditionalFormatting sqref="B14:E15 B17:E19">
    <cfRule type="expression" dxfId="47" priority="27" stopIfTrue="1">
      <formula>$E$4=0</formula>
    </cfRule>
  </conditionalFormatting>
  <conditionalFormatting sqref="O14:O15 O17:O19">
    <cfRule type="expression" dxfId="46" priority="26" stopIfTrue="1">
      <formula>$E$4=0</formula>
    </cfRule>
  </conditionalFormatting>
  <conditionalFormatting sqref="A2">
    <cfRule type="expression" dxfId="45" priority="25" stopIfTrue="1">
      <formula>#REF!=0</formula>
    </cfRule>
  </conditionalFormatting>
  <conditionalFormatting sqref="A1:AB1">
    <cfRule type="expression" dxfId="44" priority="60" stopIfTrue="1">
      <formula>$E$4=0</formula>
    </cfRule>
  </conditionalFormatting>
  <conditionalFormatting sqref="O29:O31">
    <cfRule type="expression" dxfId="43" priority="23">
      <formula>$E$4&lt;&gt;1</formula>
    </cfRule>
  </conditionalFormatting>
  <conditionalFormatting sqref="F14:G15 F17:G19">
    <cfRule type="expression" dxfId="42" priority="22">
      <formula>$E$4&lt;&gt;3</formula>
    </cfRule>
  </conditionalFormatting>
  <conditionalFormatting sqref="I14:L15 I17:L19">
    <cfRule type="expression" dxfId="41" priority="20">
      <formula>$E$4=4</formula>
    </cfRule>
    <cfRule type="expression" dxfId="40" priority="21">
      <formula>$E$4=0</formula>
    </cfRule>
  </conditionalFormatting>
  <conditionalFormatting sqref="M29:M31">
    <cfRule type="expression" dxfId="39" priority="14">
      <formula>$E$4=4</formula>
    </cfRule>
    <cfRule type="expression" dxfId="38" priority="15">
      <formula>$E$4=3</formula>
    </cfRule>
    <cfRule type="expression" dxfId="37" priority="19">
      <formula>$E$4=0</formula>
    </cfRule>
  </conditionalFormatting>
  <conditionalFormatting sqref="B29:D31">
    <cfRule type="expression" dxfId="36" priority="16">
      <formula>$E$4&lt;&gt;1</formula>
    </cfRule>
  </conditionalFormatting>
  <conditionalFormatting sqref="R14:U15 R29:U30">
    <cfRule type="expression" dxfId="35" priority="13" stopIfTrue="1">
      <formula>$E$4=0</formula>
    </cfRule>
  </conditionalFormatting>
  <conditionalFormatting sqref="R15:T15">
    <cfRule type="expression" dxfId="34" priority="11" stopIfTrue="1">
      <formula>$E$4=0</formula>
    </cfRule>
  </conditionalFormatting>
  <conditionalFormatting sqref="R17:S19">
    <cfRule type="expression" dxfId="33" priority="10" stopIfTrue="1">
      <formula>$E$4=0</formula>
    </cfRule>
  </conditionalFormatting>
  <conditionalFormatting sqref="R30:T30">
    <cfRule type="expression" dxfId="32" priority="9" stopIfTrue="1">
      <formula>$E$4=0</formula>
    </cfRule>
  </conditionalFormatting>
  <conditionalFormatting sqref="R31:S31">
    <cfRule type="expression" dxfId="31" priority="8" stopIfTrue="1">
      <formula>$E$4=0</formula>
    </cfRule>
  </conditionalFormatting>
  <conditionalFormatting sqref="W14:Z15 W29:Z29 Y30:Z30 W30:X31">
    <cfRule type="expression" dxfId="30" priority="7" stopIfTrue="1">
      <formula>$E$4=0</formula>
    </cfRule>
  </conditionalFormatting>
  <conditionalFormatting sqref="W15:X15">
    <cfRule type="expression" dxfId="29" priority="6" stopIfTrue="1">
      <formula>$E$4=0</formula>
    </cfRule>
  </conditionalFormatting>
  <conditionalFormatting sqref="Y15">
    <cfRule type="expression" dxfId="28" priority="4" stopIfTrue="1">
      <formula>$E$4=0</formula>
    </cfRule>
  </conditionalFormatting>
  <conditionalFormatting sqref="W17:X19">
    <cfRule type="expression" dxfId="27" priority="3" stopIfTrue="1">
      <formula>$E$4=0</formula>
    </cfRule>
  </conditionalFormatting>
  <conditionalFormatting sqref="Y30">
    <cfRule type="expression" dxfId="26" priority="1" stopIfTrue="1">
      <formula>$E$4=0</formula>
    </cfRule>
  </conditionalFormatting>
  <dataValidations count="1">
    <dataValidation type="custom" allowBlank="1" showErrorMessage="1" errorTitle="Number less than 0" error="You are trying to enter a number which is less than 0, please re-enter a valid number." sqref="C22:O22 C29:D31 B14:B22 C20:M21 B29:B32 M16 C14:G19 I14:K19 H16 C32:L32">
      <formula1>B14&gt;=0</formula1>
    </dataValidation>
  </dataValidations>
  <printOptions horizontalCentered="1" verticalCentered="1" gridLines="1" gridLinesSet="0"/>
  <pageMargins left="0.2" right="0.2" top="0.17" bottom="0.16" header="0.23" footer="0.26"/>
  <pageSetup paperSize="9" scale="5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zoomScale="75" workbookViewId="0"/>
  </sheetViews>
  <sheetFormatPr defaultRowHeight="18.75"/>
  <cols>
    <col min="1" max="1" width="28.7109375" style="1010" customWidth="1"/>
    <col min="2" max="2" width="14.28515625" style="1010" customWidth="1"/>
    <col min="3" max="7" width="12.7109375" style="1010" customWidth="1"/>
    <col min="8" max="8" width="4.7109375" style="1010" customWidth="1"/>
    <col min="9" max="9" width="27.42578125" style="1010" customWidth="1"/>
    <col min="10" max="10" width="32.7109375" style="1010" customWidth="1"/>
    <col min="11" max="11" width="10.42578125" style="1010" customWidth="1"/>
    <col min="12" max="12" width="5.85546875" style="1010" customWidth="1"/>
    <col min="13" max="16" width="11.7109375" style="1010" hidden="1" customWidth="1"/>
    <col min="17" max="16384" width="9.140625" style="1010"/>
  </cols>
  <sheetData>
    <row r="1" spans="1:17" ht="50.1" customHeight="1">
      <c r="A1" s="271" t="str">
        <f>IF(F4=0,"Your Institution Does Not Complete This Table","")</f>
        <v>Your Institution Does Not Complete This Table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7" ht="30" customHeight="1">
      <c r="A2" s="626" t="s">
        <v>269</v>
      </c>
      <c r="B2" s="319"/>
      <c r="C2" s="319"/>
      <c r="D2" s="319"/>
      <c r="E2" s="319"/>
      <c r="F2" s="319"/>
      <c r="G2" s="320"/>
      <c r="H2" s="321"/>
      <c r="I2" s="244"/>
      <c r="J2" s="244"/>
      <c r="K2" s="2"/>
      <c r="L2" s="1012"/>
      <c r="M2" s="1227" t="s">
        <v>369</v>
      </c>
      <c r="N2" s="1227" t="s">
        <v>370</v>
      </c>
      <c r="O2" s="1227" t="s">
        <v>371</v>
      </c>
      <c r="P2" s="1227" t="s">
        <v>372</v>
      </c>
      <c r="Q2" s="1012"/>
    </row>
    <row r="3" spans="1:17" ht="15" customHeight="1">
      <c r="A3" s="243"/>
      <c r="B3" s="322"/>
      <c r="C3" s="10"/>
      <c r="D3" s="10"/>
      <c r="E3" s="10"/>
      <c r="F3" s="10"/>
      <c r="G3" s="10"/>
      <c r="H3" s="13"/>
      <c r="I3" s="244"/>
      <c r="J3" s="244"/>
      <c r="K3" s="2"/>
      <c r="L3" s="1029"/>
      <c r="M3" s="1227"/>
      <c r="N3" s="1227"/>
      <c r="O3" s="1227"/>
      <c r="P3" s="1227"/>
      <c r="Q3" s="1029"/>
    </row>
    <row r="4" spans="1:17" ht="35.1" customHeight="1">
      <c r="A4" s="323" t="s">
        <v>0</v>
      </c>
      <c r="B4" s="1284" t="str">
        <f>Background!$D$2</f>
        <v>Glasgow, University of</v>
      </c>
      <c r="C4" s="1285"/>
      <c r="D4" s="1285"/>
      <c r="E4" s="1286"/>
      <c r="F4" s="263">
        <f>VLOOKUP(Background!$C$2,Inst_Tables,7,FALSE)</f>
        <v>0</v>
      </c>
      <c r="G4" s="3"/>
      <c r="H4" s="14"/>
      <c r="I4" s="244"/>
      <c r="J4" s="244"/>
      <c r="K4" s="2"/>
      <c r="M4" s="1227"/>
      <c r="N4" s="1227"/>
      <c r="O4" s="1227"/>
      <c r="P4" s="1227"/>
    </row>
    <row r="5" spans="1:17" ht="35.1" customHeight="1">
      <c r="A5" s="640" t="s">
        <v>330</v>
      </c>
      <c r="B5" s="324"/>
      <c r="C5" s="324"/>
      <c r="D5" s="324"/>
      <c r="E5" s="324"/>
      <c r="F5" s="324"/>
      <c r="G5" s="324"/>
      <c r="H5" s="325"/>
      <c r="I5" s="244"/>
      <c r="J5" s="244"/>
      <c r="K5" s="2"/>
      <c r="M5" s="1227"/>
      <c r="N5" s="1227"/>
      <c r="O5" s="1227"/>
      <c r="P5" s="1227"/>
    </row>
    <row r="6" spans="1:17" ht="30" customHeight="1">
      <c r="A6" s="273" t="s">
        <v>399</v>
      </c>
      <c r="B6" s="324"/>
      <c r="C6" s="324"/>
      <c r="D6" s="324"/>
      <c r="E6" s="324"/>
      <c r="F6" s="324"/>
      <c r="G6" s="324"/>
      <c r="H6" s="325"/>
      <c r="I6" s="244"/>
      <c r="J6" s="244"/>
      <c r="K6" s="2"/>
      <c r="M6" s="1227"/>
      <c r="N6" s="1227"/>
      <c r="O6" s="1227"/>
      <c r="P6" s="1227"/>
    </row>
    <row r="7" spans="1:17" ht="15" customHeight="1" thickBot="1">
      <c r="A7" s="326"/>
      <c r="B7" s="324"/>
      <c r="C7" s="324"/>
      <c r="D7" s="324"/>
      <c r="E7" s="324"/>
      <c r="F7" s="324"/>
      <c r="G7" s="324"/>
      <c r="H7" s="325"/>
      <c r="I7" s="244"/>
      <c r="J7" s="244"/>
      <c r="K7" s="2"/>
      <c r="M7" s="1227"/>
      <c r="N7" s="1227"/>
      <c r="O7" s="1227"/>
      <c r="P7" s="1227"/>
    </row>
    <row r="8" spans="1:17" ht="39.950000000000003" customHeight="1">
      <c r="A8" s="1095"/>
      <c r="B8" s="1282" t="s">
        <v>180</v>
      </c>
      <c r="C8" s="1287" t="s">
        <v>45</v>
      </c>
      <c r="D8" s="1288"/>
      <c r="E8" s="1288"/>
      <c r="F8" s="1288"/>
      <c r="G8" s="1289"/>
      <c r="H8" s="325"/>
      <c r="I8" s="244"/>
      <c r="J8" s="244"/>
      <c r="K8" s="2"/>
      <c r="M8" s="1227"/>
      <c r="N8" s="1227"/>
      <c r="O8" s="1227"/>
      <c r="P8" s="1227"/>
    </row>
    <row r="9" spans="1:17" ht="32.25" customHeight="1">
      <c r="A9" s="1096"/>
      <c r="B9" s="1283"/>
      <c r="C9" s="342" t="s">
        <v>40</v>
      </c>
      <c r="D9" s="342" t="s">
        <v>28</v>
      </c>
      <c r="E9" s="342" t="s">
        <v>29</v>
      </c>
      <c r="F9" s="342" t="s">
        <v>30</v>
      </c>
      <c r="G9" s="343" t="s">
        <v>2</v>
      </c>
      <c r="H9" s="325"/>
      <c r="I9" s="244"/>
      <c r="J9" s="244"/>
      <c r="K9" s="2"/>
      <c r="M9" s="1009"/>
      <c r="N9" s="1009"/>
      <c r="O9" s="1009"/>
      <c r="P9" s="1030"/>
    </row>
    <row r="10" spans="1:17" ht="35.1" customHeight="1">
      <c r="A10" s="1097" t="s">
        <v>52</v>
      </c>
      <c r="B10" s="327" t="s">
        <v>32</v>
      </c>
      <c r="C10" s="327" t="s">
        <v>32</v>
      </c>
      <c r="D10" s="327" t="s">
        <v>32</v>
      </c>
      <c r="E10" s="327" t="s">
        <v>32</v>
      </c>
      <c r="F10" s="327" t="s">
        <v>32</v>
      </c>
      <c r="G10" s="336" t="s">
        <v>32</v>
      </c>
      <c r="H10" s="363"/>
      <c r="I10" s="361"/>
      <c r="J10" s="361"/>
      <c r="K10" s="2"/>
      <c r="M10" s="999" t="s">
        <v>103</v>
      </c>
      <c r="N10" s="999" t="s">
        <v>103</v>
      </c>
      <c r="O10" s="999" t="s">
        <v>103</v>
      </c>
      <c r="P10" s="999" t="s">
        <v>103</v>
      </c>
    </row>
    <row r="11" spans="1:17" ht="39.950000000000003" customHeight="1">
      <c r="A11" s="1098"/>
      <c r="B11" s="335" t="s">
        <v>48</v>
      </c>
      <c r="C11" s="335" t="s">
        <v>48</v>
      </c>
      <c r="D11" s="335" t="s">
        <v>48</v>
      </c>
      <c r="E11" s="335" t="s">
        <v>48</v>
      </c>
      <c r="F11" s="335" t="s">
        <v>48</v>
      </c>
      <c r="G11" s="337" t="s">
        <v>179</v>
      </c>
      <c r="H11" s="325"/>
      <c r="I11" s="360" t="s">
        <v>378</v>
      </c>
      <c r="J11" s="360" t="s">
        <v>376</v>
      </c>
      <c r="K11" s="2"/>
    </row>
    <row r="12" spans="1:17" ht="30" customHeight="1">
      <c r="A12" s="1099" t="s">
        <v>53</v>
      </c>
      <c r="B12" s="345"/>
      <c r="C12" s="324"/>
      <c r="D12" s="324"/>
      <c r="E12" s="324"/>
      <c r="F12" s="324"/>
      <c r="G12" s="338"/>
      <c r="H12" s="325"/>
      <c r="I12" s="362"/>
      <c r="J12" s="246"/>
      <c r="K12" s="2"/>
    </row>
    <row r="13" spans="1:17" ht="24.95" customHeight="1">
      <c r="A13" s="1100" t="s">
        <v>54</v>
      </c>
      <c r="B13" s="305"/>
      <c r="C13" s="304"/>
      <c r="D13" s="305"/>
      <c r="E13" s="305"/>
      <c r="F13" s="305"/>
      <c r="G13" s="339">
        <f>SUM(C13:F13)</f>
        <v>0</v>
      </c>
      <c r="H13" s="328"/>
      <c r="I13" s="359" t="str">
        <f>IF(M13=1,Intake_missing,IF(N13=1,Only_intake_recorded,"OK"))</f>
        <v>OK</v>
      </c>
      <c r="J13" s="359" t="str">
        <f>IF(OR(O13=1,P13=1),Intake_inconsistent,"OK")</f>
        <v>OK</v>
      </c>
      <c r="K13" s="2"/>
      <c r="M13" s="999">
        <f>IF(AND(B13=0,G13&gt;0),1,0)</f>
        <v>0</v>
      </c>
      <c r="N13" s="999">
        <f>IF(AND(B13&gt;0,G13=0),1,0)</f>
        <v>0</v>
      </c>
      <c r="O13" s="999">
        <f>IF(B13&gt;G13,1,0)</f>
        <v>0</v>
      </c>
      <c r="P13" s="999">
        <f>IF(AND(SUM(D13:F13)&gt;0,B13=G13),1,0)</f>
        <v>0</v>
      </c>
    </row>
    <row r="14" spans="1:17" ht="24.95" customHeight="1">
      <c r="A14" s="1100" t="s">
        <v>55</v>
      </c>
      <c r="B14" s="344"/>
      <c r="C14" s="304"/>
      <c r="D14" s="305"/>
      <c r="E14" s="305"/>
      <c r="F14" s="305"/>
      <c r="G14" s="339">
        <f>SUM(C14:F14)</f>
        <v>0</v>
      </c>
      <c r="H14" s="328"/>
      <c r="I14" s="4"/>
      <c r="J14" s="2"/>
      <c r="K14" s="2"/>
      <c r="M14" s="1025"/>
      <c r="N14" s="1025"/>
      <c r="O14" s="1025"/>
    </row>
    <row r="15" spans="1:17" ht="24.95" customHeight="1">
      <c r="A15" s="1100" t="s">
        <v>56</v>
      </c>
      <c r="B15" s="307"/>
      <c r="C15" s="306"/>
      <c r="D15" s="307"/>
      <c r="E15" s="307"/>
      <c r="F15" s="307"/>
      <c r="G15" s="346">
        <f>SUM(C15:F15)</f>
        <v>0</v>
      </c>
      <c r="H15" s="328"/>
      <c r="I15" s="359" t="str">
        <f>IF(M15=1,Intake_missing,IF(N15=1,Only_intake_recorded,"OK"))</f>
        <v>OK</v>
      </c>
      <c r="J15" s="359" t="str">
        <f>IF(OR(O15=1,P15=1),Intake_inconsistent,"OK")</f>
        <v>OK</v>
      </c>
      <c r="K15" s="2"/>
      <c r="M15" s="999">
        <f>IF(AND(B15=0,G15&gt;0),1,0)</f>
        <v>0</v>
      </c>
      <c r="N15" s="999">
        <f>IF(AND(B15&gt;0,G15=0),1,0)</f>
        <v>0</v>
      </c>
      <c r="O15" s="999">
        <f>IF(B15&gt;G15,1,0)</f>
        <v>0</v>
      </c>
      <c r="P15" s="999">
        <f>IF(AND(SUM(D15:F15)&gt;0,B15=G15),1,0)</f>
        <v>0</v>
      </c>
    </row>
    <row r="16" spans="1:17" ht="24.95" customHeight="1">
      <c r="A16" s="1101" t="s">
        <v>2</v>
      </c>
      <c r="B16" s="657">
        <f>SUM(B13,B15)</f>
        <v>0</v>
      </c>
      <c r="C16" s="658">
        <f>SUM(C13:C15)</f>
        <v>0</v>
      </c>
      <c r="D16" s="658">
        <f>SUM(D13:D15)</f>
        <v>0</v>
      </c>
      <c r="E16" s="658">
        <f>SUM(E13:E15)</f>
        <v>0</v>
      </c>
      <c r="F16" s="658">
        <f>SUM(F13:F15)</f>
        <v>0</v>
      </c>
      <c r="G16" s="346">
        <f>SUM(C16:F16)</f>
        <v>0</v>
      </c>
      <c r="H16" s="328"/>
      <c r="I16" s="656"/>
      <c r="J16" s="656"/>
      <c r="K16" s="2"/>
      <c r="M16" s="999"/>
      <c r="N16" s="999"/>
      <c r="O16" s="999"/>
      <c r="P16" s="999"/>
    </row>
    <row r="17" spans="1:16" ht="30" customHeight="1">
      <c r="A17" s="1102" t="s">
        <v>57</v>
      </c>
      <c r="B17" s="347"/>
      <c r="C17" s="348"/>
      <c r="D17" s="348"/>
      <c r="E17" s="348"/>
      <c r="F17" s="348"/>
      <c r="G17" s="349"/>
      <c r="H17" s="328"/>
      <c r="I17" s="329"/>
      <c r="J17" s="2"/>
      <c r="K17" s="2"/>
    </row>
    <row r="18" spans="1:16" ht="24.95" customHeight="1">
      <c r="A18" s="1100" t="s">
        <v>54</v>
      </c>
      <c r="B18" s="305"/>
      <c r="C18" s="304"/>
      <c r="D18" s="305"/>
      <c r="E18" s="305"/>
      <c r="F18" s="305"/>
      <c r="G18" s="339">
        <f>SUM(C18:F18)</f>
        <v>0</v>
      </c>
      <c r="H18" s="328"/>
      <c r="I18" s="359" t="str">
        <f>IF(M18=1,Intake_missing,IF(N18=1,Only_intake_recorded,"OK"))</f>
        <v>OK</v>
      </c>
      <c r="J18" s="359" t="str">
        <f>IF(OR(O18=1,P18=1),Intake_inconsistent,"OK")</f>
        <v>OK</v>
      </c>
      <c r="K18" s="2"/>
      <c r="M18" s="999">
        <f>IF(AND(B18=0,G18&gt;0),1,0)</f>
        <v>0</v>
      </c>
      <c r="N18" s="999">
        <f>IF(AND(B18&gt;0,G18=0),1,0)</f>
        <v>0</v>
      </c>
      <c r="O18" s="999">
        <f>IF(B18&gt;G18,1,0)</f>
        <v>0</v>
      </c>
      <c r="P18" s="999">
        <f>IF(AND(SUM(D18:F18)&gt;0,B18=G18),1,0)</f>
        <v>0</v>
      </c>
    </row>
    <row r="19" spans="1:16" ht="24.95" customHeight="1">
      <c r="A19" s="1100" t="s">
        <v>55</v>
      </c>
      <c r="B19" s="344"/>
      <c r="C19" s="304"/>
      <c r="D19" s="305"/>
      <c r="E19" s="305"/>
      <c r="F19" s="305"/>
      <c r="G19" s="339">
        <f>SUM(C19:F19)</f>
        <v>0</v>
      </c>
      <c r="H19" s="328"/>
      <c r="I19" s="4"/>
      <c r="J19" s="2"/>
      <c r="K19" s="2"/>
    </row>
    <row r="20" spans="1:16" ht="24.95" customHeight="1">
      <c r="A20" s="1100" t="s">
        <v>56</v>
      </c>
      <c r="B20" s="305"/>
      <c r="C20" s="304"/>
      <c r="D20" s="305"/>
      <c r="E20" s="305"/>
      <c r="F20" s="305"/>
      <c r="G20" s="339">
        <f>SUM(C20:F20)</f>
        <v>0</v>
      </c>
      <c r="H20" s="328"/>
      <c r="I20" s="359" t="str">
        <f>IF(M20=1,Intake_missing,IF(N20=1,Only_intake_recorded,"OK"))</f>
        <v>OK</v>
      </c>
      <c r="J20" s="359" t="str">
        <f>IF(OR(O20=1,P20=1),Intake_inconsistent,"OK")</f>
        <v>OK</v>
      </c>
      <c r="K20" s="2"/>
      <c r="M20" s="999">
        <f>IF(AND(B20=0,G20&gt;0),1,0)</f>
        <v>0</v>
      </c>
      <c r="N20" s="999">
        <f>IF(AND(B20&gt;0,G20=0),1,0)</f>
        <v>0</v>
      </c>
      <c r="O20" s="999">
        <f>IF(B20&gt;G20,1,0)</f>
        <v>0</v>
      </c>
      <c r="P20" s="999">
        <f>IF(AND(SUM(D20:F20)&gt;0,B20=G20),1,0)</f>
        <v>0</v>
      </c>
    </row>
    <row r="21" spans="1:16" ht="24.95" customHeight="1">
      <c r="A21" s="659" t="s">
        <v>2</v>
      </c>
      <c r="B21" s="658">
        <f>SUM(B18,B20)</f>
        <v>0</v>
      </c>
      <c r="C21" s="658">
        <f>SUM(C18:C20)</f>
        <v>0</v>
      </c>
      <c r="D21" s="658">
        <f>SUM(D18:D20)</f>
        <v>0</v>
      </c>
      <c r="E21" s="658">
        <f>SUM(E18:E20)</f>
        <v>0</v>
      </c>
      <c r="F21" s="658">
        <f>SUM(F18:F20)</f>
        <v>0</v>
      </c>
      <c r="G21" s="339">
        <f>SUM(C21:F21)</f>
        <v>0</v>
      </c>
      <c r="H21" s="328"/>
      <c r="I21" s="656"/>
      <c r="J21" s="656"/>
      <c r="K21" s="2"/>
      <c r="M21" s="999"/>
      <c r="N21" s="999"/>
      <c r="O21" s="999"/>
      <c r="P21" s="999"/>
    </row>
    <row r="22" spans="1:16" ht="30" customHeight="1">
      <c r="A22" s="1099" t="s">
        <v>58</v>
      </c>
      <c r="B22" s="350"/>
      <c r="C22" s="4"/>
      <c r="D22" s="4"/>
      <c r="E22" s="5"/>
      <c r="F22" s="5"/>
      <c r="G22" s="340"/>
      <c r="H22" s="328"/>
      <c r="I22" s="351"/>
      <c r="J22" s="2"/>
      <c r="K22" s="2"/>
    </row>
    <row r="23" spans="1:16" ht="24.95" customHeight="1">
      <c r="A23" s="1100" t="s">
        <v>54</v>
      </c>
      <c r="B23" s="305"/>
      <c r="C23" s="304"/>
      <c r="D23" s="305"/>
      <c r="E23" s="305"/>
      <c r="F23" s="305"/>
      <c r="G23" s="339">
        <f>SUM(C23:F23)</f>
        <v>0</v>
      </c>
      <c r="H23" s="328"/>
      <c r="I23" s="359" t="str">
        <f>IF(M23=1,Intake_missing,IF(N23=1,Only_intake_recorded,"OK"))</f>
        <v>OK</v>
      </c>
      <c r="J23" s="359" t="str">
        <f>IF(OR(O23=1,P23=1),Intake_inconsistent,"OK")</f>
        <v>OK</v>
      </c>
      <c r="K23" s="2"/>
      <c r="M23" s="999">
        <f>IF(AND(B23=0,G23&gt;0),1,0)</f>
        <v>0</v>
      </c>
      <c r="N23" s="999">
        <f>IF(AND(B23&gt;0,G23=0),1,0)</f>
        <v>0</v>
      </c>
      <c r="O23" s="999">
        <f>IF(B23&gt;G23,1,0)</f>
        <v>0</v>
      </c>
      <c r="P23" s="999">
        <f>IF(AND(SUM(D23:F23)&gt;0,B23=G23),1,0)</f>
        <v>0</v>
      </c>
    </row>
    <row r="24" spans="1:16" ht="24.95" customHeight="1">
      <c r="A24" s="1100" t="s">
        <v>55</v>
      </c>
      <c r="B24" s="344"/>
      <c r="C24" s="304"/>
      <c r="D24" s="305"/>
      <c r="E24" s="305"/>
      <c r="F24" s="305"/>
      <c r="G24" s="339">
        <f>SUM(C24:F24)</f>
        <v>0</v>
      </c>
      <c r="H24" s="328"/>
      <c r="I24" s="4"/>
      <c r="J24" s="2"/>
      <c r="K24" s="2"/>
    </row>
    <row r="25" spans="1:16" ht="24.95" customHeight="1">
      <c r="A25" s="1100" t="s">
        <v>56</v>
      </c>
      <c r="B25" s="307"/>
      <c r="C25" s="306"/>
      <c r="D25" s="307"/>
      <c r="E25" s="307"/>
      <c r="F25" s="307"/>
      <c r="G25" s="346">
        <f>SUM(C25:F25)</f>
        <v>0</v>
      </c>
      <c r="H25" s="328"/>
      <c r="I25" s="359" t="str">
        <f>IF(M25=1,Intake_missing,IF(N25=1,Only_intake_recorded,"OK"))</f>
        <v>OK</v>
      </c>
      <c r="J25" s="359" t="str">
        <f>IF(OR(O25=1,P25=1),Intake_inconsistent,"OK")</f>
        <v>OK</v>
      </c>
      <c r="K25" s="2"/>
      <c r="M25" s="999">
        <f>IF(AND(B25=0,G25&gt;0),1,0)</f>
        <v>0</v>
      </c>
      <c r="N25" s="999">
        <f>IF(AND(B25&gt;0,G25=0),1,0)</f>
        <v>0</v>
      </c>
      <c r="O25" s="999">
        <f>IF(B25&gt;G25,1,0)</f>
        <v>0</v>
      </c>
      <c r="P25" s="999">
        <f>IF(AND(SUM(D25:F25)&gt;0,B25=G25),1,0)</f>
        <v>0</v>
      </c>
    </row>
    <row r="26" spans="1:16" ht="24.95" customHeight="1">
      <c r="A26" s="659" t="s">
        <v>2</v>
      </c>
      <c r="B26" s="658">
        <f>SUM(B23,B25)</f>
        <v>0</v>
      </c>
      <c r="C26" s="658">
        <f>SUM(C23:C25)</f>
        <v>0</v>
      </c>
      <c r="D26" s="658">
        <f>SUM(D23:D25)</f>
        <v>0</v>
      </c>
      <c r="E26" s="658">
        <f>SUM(E23:E25)</f>
        <v>0</v>
      </c>
      <c r="F26" s="658">
        <f>SUM(F23:F25)</f>
        <v>0</v>
      </c>
      <c r="G26" s="339">
        <f>SUM(C26:F26)</f>
        <v>0</v>
      </c>
      <c r="H26" s="328"/>
      <c r="I26" s="656"/>
      <c r="J26" s="656"/>
      <c r="K26" s="2"/>
      <c r="M26" s="999"/>
      <c r="N26" s="999"/>
      <c r="O26" s="999"/>
      <c r="P26" s="999"/>
    </row>
    <row r="27" spans="1:16" ht="30" customHeight="1">
      <c r="A27" s="1102" t="s">
        <v>59</v>
      </c>
      <c r="B27" s="356"/>
      <c r="C27" s="348"/>
      <c r="D27" s="348"/>
      <c r="E27" s="357"/>
      <c r="F27" s="357"/>
      <c r="G27" s="358"/>
      <c r="H27" s="328"/>
      <c r="I27" s="351"/>
      <c r="J27" s="2"/>
      <c r="K27" s="2"/>
    </row>
    <row r="28" spans="1:16" ht="24.95" customHeight="1">
      <c r="A28" s="1100" t="s">
        <v>54</v>
      </c>
      <c r="B28" s="305"/>
      <c r="C28" s="304"/>
      <c r="D28" s="305"/>
      <c r="E28" s="305"/>
      <c r="F28" s="305"/>
      <c r="G28" s="339">
        <f>SUM(C28:F28)</f>
        <v>0</v>
      </c>
      <c r="H28" s="328"/>
      <c r="I28" s="359" t="str">
        <f>IF(M28=1,Intake_missing,IF(N28=1,Only_intake_recorded,"OK"))</f>
        <v>OK</v>
      </c>
      <c r="J28" s="359" t="str">
        <f>IF(OR(O28=1,P28=1),Intake_inconsistent,"OK")</f>
        <v>OK</v>
      </c>
      <c r="K28" s="2"/>
      <c r="M28" s="999">
        <f>IF(AND(B28=0,G28&gt;0),1,0)</f>
        <v>0</v>
      </c>
      <c r="N28" s="999">
        <f>IF(AND(B28&gt;0,G28=0),1,0)</f>
        <v>0</v>
      </c>
      <c r="O28" s="999">
        <f>IF(B28&gt;G28,1,0)</f>
        <v>0</v>
      </c>
      <c r="P28" s="999">
        <f>IF(AND(SUM(D28:F28)&gt;0,B28=G28),1,0)</f>
        <v>0</v>
      </c>
    </row>
    <row r="29" spans="1:16" ht="24.95" customHeight="1">
      <c r="A29" s="1100" t="s">
        <v>55</v>
      </c>
      <c r="B29" s="344"/>
      <c r="C29" s="304"/>
      <c r="D29" s="305"/>
      <c r="E29" s="305"/>
      <c r="F29" s="305"/>
      <c r="G29" s="339">
        <f>SUM(C29:F29)</f>
        <v>0</v>
      </c>
      <c r="H29" s="328"/>
      <c r="I29" s="4"/>
      <c r="J29" s="2"/>
      <c r="K29" s="2"/>
    </row>
    <row r="30" spans="1:16" ht="24.95" customHeight="1">
      <c r="A30" s="1100" t="s">
        <v>56</v>
      </c>
      <c r="B30" s="307"/>
      <c r="C30" s="306"/>
      <c r="D30" s="307"/>
      <c r="E30" s="307"/>
      <c r="F30" s="307"/>
      <c r="G30" s="346">
        <f>SUM(C30:F30)</f>
        <v>0</v>
      </c>
      <c r="H30" s="328"/>
      <c r="I30" s="359" t="str">
        <f>IF(M30=1,Intake_missing,IF(N30=1,Only_intake_recorded,"OK"))</f>
        <v>OK</v>
      </c>
      <c r="J30" s="359" t="str">
        <f>IF(OR(O30=1,P30=1),Intake_inconsistent,"OK")</f>
        <v>OK</v>
      </c>
      <c r="K30" s="2"/>
      <c r="M30" s="999">
        <f>IF(AND(B30=0,G30&gt;0),1,0)</f>
        <v>0</v>
      </c>
      <c r="N30" s="999">
        <f>IF(AND(B30&gt;0,G30=0),1,0)</f>
        <v>0</v>
      </c>
      <c r="O30" s="999">
        <f>IF(B30&gt;G30,1,0)</f>
        <v>0</v>
      </c>
      <c r="P30" s="999">
        <f>IF(AND(SUM(D30:F30)&gt;0,B30=G30),1,0)</f>
        <v>0</v>
      </c>
    </row>
    <row r="31" spans="1:16" ht="24.95" customHeight="1">
      <c r="A31" s="659" t="s">
        <v>2</v>
      </c>
      <c r="B31" s="658">
        <f>SUM(B28,B30)</f>
        <v>0</v>
      </c>
      <c r="C31" s="658">
        <f>SUM(C28:C30)</f>
        <v>0</v>
      </c>
      <c r="D31" s="658">
        <f>SUM(D28:D30)</f>
        <v>0</v>
      </c>
      <c r="E31" s="658">
        <f>SUM(E28:E30)</f>
        <v>0</v>
      </c>
      <c r="F31" s="658">
        <f>SUM(F28:F30)</f>
        <v>0</v>
      </c>
      <c r="G31" s="339">
        <f>SUM(C31:F31)</f>
        <v>0</v>
      </c>
      <c r="H31" s="328"/>
      <c r="I31" s="656"/>
      <c r="J31" s="656"/>
      <c r="K31" s="2"/>
      <c r="M31" s="999"/>
      <c r="N31" s="999"/>
      <c r="O31" s="999"/>
      <c r="P31" s="999"/>
    </row>
    <row r="32" spans="1:16" ht="30" customHeight="1">
      <c r="A32" s="1102" t="s">
        <v>60</v>
      </c>
      <c r="B32" s="356"/>
      <c r="C32" s="348"/>
      <c r="D32" s="348"/>
      <c r="E32" s="357"/>
      <c r="F32" s="357"/>
      <c r="G32" s="358"/>
      <c r="H32" s="328"/>
      <c r="I32" s="351"/>
      <c r="J32" s="2"/>
      <c r="K32" s="2"/>
    </row>
    <row r="33" spans="1:16" ht="24.95" customHeight="1">
      <c r="A33" s="1100" t="s">
        <v>54</v>
      </c>
      <c r="B33" s="305"/>
      <c r="C33" s="304"/>
      <c r="D33" s="305"/>
      <c r="E33" s="305"/>
      <c r="F33" s="305"/>
      <c r="G33" s="339">
        <f>SUM(C33:F33)</f>
        <v>0</v>
      </c>
      <c r="H33" s="328"/>
      <c r="I33" s="359" t="str">
        <f>IF(M33=1,Intake_missing,IF(N33=1,Only_intake_recorded,"OK"))</f>
        <v>OK</v>
      </c>
      <c r="J33" s="359" t="str">
        <f>IF(OR(O33=1,P33=1),Intake_inconsistent,"OK")</f>
        <v>OK</v>
      </c>
      <c r="K33" s="2"/>
      <c r="M33" s="999">
        <f>IF(AND(B33=0,G33&gt;0),1,0)</f>
        <v>0</v>
      </c>
      <c r="N33" s="999">
        <f>IF(AND(B33&gt;0,G33=0),1,0)</f>
        <v>0</v>
      </c>
      <c r="O33" s="999">
        <f>IF(B33&gt;G33,1,0)</f>
        <v>0</v>
      </c>
      <c r="P33" s="999">
        <f>IF(AND(SUM(D33:F33)&gt;0,B33=G33),1,0)</f>
        <v>0</v>
      </c>
    </row>
    <row r="34" spans="1:16" ht="24.95" customHeight="1">
      <c r="A34" s="1100" t="s">
        <v>55</v>
      </c>
      <c r="B34" s="344"/>
      <c r="C34" s="304"/>
      <c r="D34" s="305"/>
      <c r="E34" s="305"/>
      <c r="F34" s="305"/>
      <c r="G34" s="339">
        <f>SUM(C34:F34)</f>
        <v>0</v>
      </c>
      <c r="H34" s="1036"/>
      <c r="I34" s="1033"/>
      <c r="J34" s="1033"/>
      <c r="K34" s="2"/>
      <c r="M34" s="1031"/>
      <c r="N34" s="1032"/>
    </row>
    <row r="35" spans="1:16" ht="24.95" customHeight="1">
      <c r="A35" s="659" t="s">
        <v>2</v>
      </c>
      <c r="B35" s="658">
        <f>B33</f>
        <v>0</v>
      </c>
      <c r="C35" s="658">
        <f>SUM(C33:C34)</f>
        <v>0</v>
      </c>
      <c r="D35" s="658">
        <f>SUM(D33:D34)</f>
        <v>0</v>
      </c>
      <c r="E35" s="658">
        <f>SUM(E33:E34)</f>
        <v>0</v>
      </c>
      <c r="F35" s="658">
        <f>SUM(F33:F34)</f>
        <v>0</v>
      </c>
      <c r="G35" s="339">
        <f>SUM(C35:F35)</f>
        <v>0</v>
      </c>
      <c r="H35" s="328"/>
      <c r="I35" s="1034" t="s">
        <v>105</v>
      </c>
      <c r="J35" s="1034" t="s">
        <v>112</v>
      </c>
      <c r="K35" s="2"/>
      <c r="M35" s="1031"/>
      <c r="N35" s="1032"/>
    </row>
    <row r="36" spans="1:16" ht="35.1" customHeight="1" thickBot="1">
      <c r="A36" s="1103" t="s">
        <v>2</v>
      </c>
      <c r="B36" s="352">
        <f>SUM(B16,B21,B26,B31,B35)</f>
        <v>0</v>
      </c>
      <c r="C36" s="352">
        <f>SUM(C16,C21,C26,C31,C35)</f>
        <v>0</v>
      </c>
      <c r="D36" s="352">
        <f>SUM(D16,D21,D26,D31,D35)</f>
        <v>0</v>
      </c>
      <c r="E36" s="352">
        <f>SUM(E16,E21,E26,E31,E35)</f>
        <v>0</v>
      </c>
      <c r="F36" s="352">
        <f>SUM(F16,F21,F26,F31,F35)</f>
        <v>0</v>
      </c>
      <c r="G36" s="341">
        <f>SUM(C36:F36)</f>
        <v>0</v>
      </c>
      <c r="H36" s="330"/>
      <c r="I36" s="1035">
        <f>G36-SUM('Table 1'!$P$16,'Table 1'!$P$37)</f>
        <v>0</v>
      </c>
      <c r="J36" s="601" t="str">
        <f>IF(ABS(I36)&gt;0.1,"Does not equal figure in Table 1","OK")</f>
        <v>OK</v>
      </c>
      <c r="K36" s="2"/>
      <c r="M36" s="1002"/>
      <c r="N36" s="1032"/>
    </row>
    <row r="37" spans="1:16" ht="33.75" customHeight="1">
      <c r="A37" s="245"/>
      <c r="B37" s="353"/>
      <c r="C37" s="353"/>
      <c r="D37" s="353"/>
      <c r="E37" s="353"/>
      <c r="F37" s="353"/>
      <c r="G37" s="332"/>
      <c r="H37" s="333"/>
      <c r="I37" s="354"/>
      <c r="J37" s="334"/>
      <c r="K37" s="2"/>
    </row>
    <row r="38" spans="1:16" ht="12.75" customHeight="1">
      <c r="B38" s="1017"/>
      <c r="C38" s="1009"/>
      <c r="D38" s="1009"/>
      <c r="E38" s="1009"/>
      <c r="F38" s="1009"/>
      <c r="G38" s="1009"/>
      <c r="H38" s="1009"/>
      <c r="I38" s="1009"/>
      <c r="J38" s="1009"/>
    </row>
    <row r="39" spans="1:16">
      <c r="B39" s="1009"/>
      <c r="C39" s="1009"/>
      <c r="D39" s="1009"/>
      <c r="E39" s="1009"/>
      <c r="F39" s="1009"/>
      <c r="G39" s="1009"/>
      <c r="H39" s="1009"/>
      <c r="I39" s="1009"/>
      <c r="J39" s="1009"/>
    </row>
    <row r="40" spans="1:16">
      <c r="B40" s="1009"/>
      <c r="C40" s="1009"/>
      <c r="D40" s="1009"/>
      <c r="E40" s="1009"/>
      <c r="F40" s="1009"/>
      <c r="G40" s="1009"/>
      <c r="H40" s="1009"/>
      <c r="I40" s="1009"/>
      <c r="J40" s="1009"/>
    </row>
    <row r="41" spans="1:16">
      <c r="B41" s="1009"/>
      <c r="C41" s="1009"/>
      <c r="D41" s="1009"/>
      <c r="E41" s="1009"/>
      <c r="F41" s="1009"/>
      <c r="G41" s="1009"/>
      <c r="H41" s="1009"/>
      <c r="I41" s="1009"/>
      <c r="J41" s="1009"/>
    </row>
  </sheetData>
  <sheetProtection password="E23E" sheet="1" objects="1" scenarios="1"/>
  <mergeCells count="7">
    <mergeCell ref="O2:O8"/>
    <mergeCell ref="P2:P8"/>
    <mergeCell ref="B8:B9"/>
    <mergeCell ref="B4:E4"/>
    <mergeCell ref="C8:G8"/>
    <mergeCell ref="M2:M8"/>
    <mergeCell ref="N2:N8"/>
  </mergeCells>
  <conditionalFormatting sqref="A1:K1">
    <cfRule type="expression" dxfId="25" priority="4" stopIfTrue="1">
      <formula>$F$4=0</formula>
    </cfRule>
  </conditionalFormatting>
  <conditionalFormatting sqref="B13:F13 C14:F14 B25:F26 B18:F18 C19:F19 B15:F16 B23:F23 C24:F24 B20:F21 B28:F28 C29:F29 B30:F31 B33:F33 C34:F34 B35:F35">
    <cfRule type="expression" dxfId="24" priority="3" stopIfTrue="1">
      <formula>$F$4=0</formula>
    </cfRule>
  </conditionalFormatting>
  <conditionalFormatting sqref="I13:J13 I36:J36 I15:J16 I18:J18 I20:J21 I23:J23 I25:J26 I28:J28 I30:J31 I33:J33">
    <cfRule type="expression" dxfId="23" priority="2" stopIfTrue="1">
      <formula>$F$4=0</formula>
    </cfRule>
  </conditionalFormatting>
  <conditionalFormatting sqref="A2">
    <cfRule type="expression" dxfId="22" priority="1" stopIfTrue="1">
      <formula>#REF!=0</formula>
    </cfRule>
  </conditionalFormatting>
  <dataValidations count="2">
    <dataValidation type="custom" errorStyle="warning" operator="greaterThanOrEqual" allowBlank="1" showInputMessage="1" showErrorMessage="1" error="Entry must be positive or zero, and no more than one decimal place" sqref="G33:G37 G23:G26 G13:G16 G18:G21 G28:G31">
      <formula1>AND(NOT(G13&lt;0),INT(G13*10)=G13*10)</formula1>
    </dataValidation>
    <dataValidation type="custom" allowBlank="1" showErrorMessage="1" errorTitle="Number less than 0" error="You are trying to enter a number which is less than 0, please re-enter a valid number." sqref="C23:F26 B33 B15:B16 B20:B21 C13:F16 B25:B26 C18:F21 B30:B31 B35 B13 B18 B23 B28 C28:F31 C33:F35">
      <formula1>B13&gt;=0</formula1>
    </dataValidation>
  </dataValidations>
  <pageMargins left="0.25" right="0.24" top="0.32" bottom="0.2" header="0.17" footer="0.17"/>
  <pageSetup paperSize="9" scale="5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5"/>
  <sheetViews>
    <sheetView zoomScale="75" zoomScaleNormal="75" workbookViewId="0"/>
  </sheetViews>
  <sheetFormatPr defaultRowHeight="18.75"/>
  <cols>
    <col min="1" max="1" width="76" style="1010" customWidth="1"/>
    <col min="2" max="2" width="18.7109375" style="1010" customWidth="1"/>
    <col min="3" max="4" width="18.7109375" style="1045" customWidth="1"/>
    <col min="5" max="5" width="42" style="1010" customWidth="1"/>
    <col min="6" max="6" width="16.7109375" style="1010" hidden="1" customWidth="1"/>
    <col min="7" max="16384" width="9.140625" style="1010"/>
  </cols>
  <sheetData>
    <row r="1" spans="1:6" ht="39.950000000000003" customHeight="1">
      <c r="A1" s="271" t="str">
        <f>IF(E4=0,"Your Institution Does Not Complete Any of This Table","")</f>
        <v/>
      </c>
      <c r="B1" s="248"/>
      <c r="C1" s="248"/>
      <c r="D1" s="248"/>
      <c r="E1" s="248"/>
      <c r="F1" s="241"/>
    </row>
    <row r="2" spans="1:6" s="1046" customFormat="1" ht="30" customHeight="1">
      <c r="A2" s="626" t="s">
        <v>270</v>
      </c>
      <c r="B2" s="641"/>
      <c r="C2" s="642"/>
      <c r="D2" s="642"/>
      <c r="E2" s="643"/>
      <c r="F2" s="242"/>
    </row>
    <row r="3" spans="1:6" s="1046" customFormat="1" ht="15" customHeight="1" thickBot="1">
      <c r="A3" s="1086"/>
      <c r="B3" s="180"/>
      <c r="C3" s="40"/>
      <c r="D3" s="40"/>
      <c r="E3" s="826"/>
      <c r="F3" s="242"/>
    </row>
    <row r="4" spans="1:6" ht="35.1" customHeight="1" thickBot="1">
      <c r="A4" s="1054" t="s">
        <v>0</v>
      </c>
      <c r="B4" s="1297" t="str">
        <f>Background!$D$2</f>
        <v>Glasgow, University of</v>
      </c>
      <c r="C4" s="1298"/>
      <c r="D4" s="1299"/>
      <c r="E4" s="729">
        <f>VLOOKUP(Background!$C$2,Inst_Tables,8,FALSE)</f>
        <v>1</v>
      </c>
      <c r="F4" s="183"/>
    </row>
    <row r="5" spans="1:6" s="1017" customFormat="1" ht="35.1" customHeight="1">
      <c r="A5" s="1086" t="s">
        <v>300</v>
      </c>
      <c r="B5" s="375"/>
      <c r="C5" s="375"/>
      <c r="D5" s="375"/>
      <c r="E5" s="645"/>
      <c r="F5" s="184"/>
    </row>
    <row r="6" spans="1:6" s="1017" customFormat="1" ht="30" customHeight="1">
      <c r="A6" s="1057" t="s">
        <v>400</v>
      </c>
      <c r="B6" s="375"/>
      <c r="C6" s="375"/>
      <c r="D6" s="375"/>
      <c r="E6" s="645"/>
      <c r="F6" s="184"/>
    </row>
    <row r="7" spans="1:6" s="1017" customFormat="1" ht="24.95" customHeight="1">
      <c r="A7" s="1057" t="s">
        <v>390</v>
      </c>
      <c r="B7" s="375"/>
      <c r="C7" s="375"/>
      <c r="D7" s="375"/>
      <c r="E7" s="645"/>
      <c r="F7" s="184"/>
    </row>
    <row r="8" spans="1:6" s="1017" customFormat="1" ht="30" customHeight="1">
      <c r="A8" s="1087" t="s">
        <v>322</v>
      </c>
      <c r="B8" s="375"/>
      <c r="C8" s="375"/>
      <c r="D8" s="375"/>
      <c r="E8" s="645"/>
      <c r="F8" s="184"/>
    </row>
    <row r="9" spans="1:6" s="1017" customFormat="1" ht="15" customHeight="1" thickBot="1">
      <c r="A9" s="1088" t="str">
        <f>IF(D9=0,"Your Institution Does Not Complete Table 5a","")</f>
        <v/>
      </c>
      <c r="B9" s="375"/>
      <c r="C9" s="375"/>
      <c r="D9" s="841">
        <f>VLOOKUP(Background!$C$2,Inst_Tables,9,FALSE)</f>
        <v>1</v>
      </c>
      <c r="E9" s="645"/>
      <c r="F9" s="184"/>
    </row>
    <row r="10" spans="1:6" ht="84.95" customHeight="1">
      <c r="A10" s="731"/>
      <c r="B10" s="388" t="s">
        <v>302</v>
      </c>
      <c r="C10" s="398" t="s">
        <v>323</v>
      </c>
      <c r="D10" s="219" t="s">
        <v>352</v>
      </c>
      <c r="E10" s="644"/>
      <c r="F10" s="1290" t="s">
        <v>351</v>
      </c>
    </row>
    <row r="11" spans="1:6" ht="24.95" customHeight="1">
      <c r="A11" s="732" t="s">
        <v>301</v>
      </c>
      <c r="B11" s="367" t="s">
        <v>32</v>
      </c>
      <c r="C11" s="367" t="s">
        <v>32</v>
      </c>
      <c r="D11" s="368" t="s">
        <v>32</v>
      </c>
      <c r="E11" s="644"/>
      <c r="F11" s="1290"/>
    </row>
    <row r="12" spans="1:6" ht="24.95" customHeight="1">
      <c r="A12" s="733"/>
      <c r="B12" s="367" t="s">
        <v>83</v>
      </c>
      <c r="C12" s="254" t="s">
        <v>48</v>
      </c>
      <c r="D12" s="368" t="s">
        <v>82</v>
      </c>
      <c r="E12" s="644"/>
      <c r="F12" s="1290"/>
    </row>
    <row r="13" spans="1:6" ht="24.95" customHeight="1">
      <c r="A13" s="734"/>
      <c r="B13" s="364" t="s">
        <v>4</v>
      </c>
      <c r="C13" s="365" t="s">
        <v>5</v>
      </c>
      <c r="D13" s="366" t="s">
        <v>6</v>
      </c>
      <c r="E13" s="644"/>
      <c r="F13" s="183"/>
    </row>
    <row r="14" spans="1:6" ht="35.1" customHeight="1">
      <c r="A14" s="1104" t="s">
        <v>310</v>
      </c>
      <c r="B14" s="727">
        <f>VLOOKUP(Background!$C$2,Inst_FPs,26,FALSE)</f>
        <v>200</v>
      </c>
      <c r="C14" s="823">
        <v>168</v>
      </c>
      <c r="D14" s="728">
        <f t="shared" ref="D14:D17" si="0">IF(B14&gt;0,C14-B14,)</f>
        <v>-32</v>
      </c>
      <c r="E14" s="644"/>
      <c r="F14" s="373">
        <f>IF(AND(B14&gt;0,C14&gt;0),MIN(B14,C14),0)</f>
        <v>168</v>
      </c>
    </row>
    <row r="15" spans="1:6" ht="35.1" customHeight="1">
      <c r="A15" s="1105" t="s">
        <v>311</v>
      </c>
      <c r="B15" s="727">
        <f>VLOOKUP(Background!$C$2,Inst_FPs,36,FALSE)</f>
        <v>0</v>
      </c>
      <c r="C15" s="824">
        <v>0</v>
      </c>
      <c r="D15" s="737">
        <f>IF(B15&gt;0,C15-B15,)</f>
        <v>0</v>
      </c>
      <c r="E15" s="644"/>
      <c r="F15" s="373">
        <f t="shared" ref="F15:F17" si="1">IF(AND(B15&gt;0,C15&gt;0),MIN(B15,C15),0)</f>
        <v>0</v>
      </c>
    </row>
    <row r="16" spans="1:6" ht="35.1" customHeight="1">
      <c r="A16" s="1104" t="s">
        <v>314</v>
      </c>
      <c r="B16" s="727">
        <f>VLOOKUP(Background!$C$2,Inst_FPs,35,FALSE)</f>
        <v>0</v>
      </c>
      <c r="C16" s="823">
        <v>0</v>
      </c>
      <c r="D16" s="728">
        <f t="shared" si="0"/>
        <v>0</v>
      </c>
      <c r="E16" s="644"/>
      <c r="F16" s="373">
        <f t="shared" si="1"/>
        <v>0</v>
      </c>
    </row>
    <row r="17" spans="1:6" ht="35.1" customHeight="1" thickBot="1">
      <c r="A17" s="1106" t="s">
        <v>315</v>
      </c>
      <c r="B17" s="775">
        <f>VLOOKUP(Background!$C$2,Inst_FPs,34,FALSE)</f>
        <v>0</v>
      </c>
      <c r="C17" s="825">
        <v>0</v>
      </c>
      <c r="D17" s="776">
        <f t="shared" si="0"/>
        <v>0</v>
      </c>
      <c r="E17" s="644"/>
      <c r="F17" s="373">
        <f t="shared" si="1"/>
        <v>0</v>
      </c>
    </row>
    <row r="18" spans="1:6" ht="30" customHeight="1">
      <c r="A18" s="778" t="s">
        <v>312</v>
      </c>
      <c r="B18" s="735"/>
      <c r="C18" s="735"/>
      <c r="D18" s="736"/>
      <c r="E18" s="644"/>
      <c r="F18" s="373"/>
    </row>
    <row r="19" spans="1:6" ht="30" customHeight="1">
      <c r="A19" s="778" t="s">
        <v>313</v>
      </c>
      <c r="B19" s="735"/>
      <c r="C19" s="735"/>
      <c r="D19" s="736"/>
      <c r="E19" s="644"/>
      <c r="F19" s="373"/>
    </row>
    <row r="20" spans="1:6" ht="24.95" customHeight="1">
      <c r="A20" s="738"/>
      <c r="B20" s="251"/>
      <c r="C20" s="252"/>
      <c r="D20" s="252"/>
      <c r="E20" s="645"/>
      <c r="F20" s="183"/>
    </row>
    <row r="21" spans="1:6" ht="24.95" customHeight="1">
      <c r="A21" s="739" t="s">
        <v>308</v>
      </c>
      <c r="B21" s="253"/>
      <c r="C21" s="253"/>
      <c r="D21" s="253"/>
      <c r="E21" s="646"/>
      <c r="F21" s="183"/>
    </row>
    <row r="22" spans="1:6" ht="15" customHeight="1" thickBot="1">
      <c r="A22" s="1089" t="str">
        <f>IF(D22=0,"Your Institution Does Not Complete Table 5b","")</f>
        <v/>
      </c>
      <c r="B22" s="375"/>
      <c r="C22" s="375"/>
      <c r="D22" s="841">
        <f>VLOOKUP(Background!$C$2,Inst_Tables,10,FALSE)</f>
        <v>1</v>
      </c>
      <c r="E22" s="646"/>
      <c r="F22" s="183"/>
    </row>
    <row r="23" spans="1:6" ht="69.95" customHeight="1">
      <c r="A23" s="730"/>
      <c r="B23" s="744"/>
      <c r="C23" s="745"/>
      <c r="D23" s="219" t="s">
        <v>303</v>
      </c>
      <c r="E23" s="645"/>
      <c r="F23" s="183"/>
    </row>
    <row r="24" spans="1:6" ht="24.95" customHeight="1">
      <c r="A24" s="743" t="s">
        <v>309</v>
      </c>
      <c r="B24" s="253"/>
      <c r="C24" s="646"/>
      <c r="D24" s="368" t="s">
        <v>32</v>
      </c>
      <c r="E24" s="827"/>
      <c r="F24" s="828"/>
    </row>
    <row r="25" spans="1:6" ht="24.95" customHeight="1">
      <c r="A25" s="725"/>
      <c r="B25" s="253"/>
      <c r="C25" s="646"/>
      <c r="D25" s="368" t="s">
        <v>48</v>
      </c>
      <c r="E25" s="827"/>
      <c r="F25" s="828"/>
    </row>
    <row r="26" spans="1:6" ht="24.95" customHeight="1">
      <c r="A26" s="726"/>
      <c r="B26" s="746"/>
      <c r="C26" s="747"/>
      <c r="D26" s="366" t="s">
        <v>4</v>
      </c>
      <c r="E26" s="829"/>
      <c r="F26" s="355"/>
    </row>
    <row r="27" spans="1:6" ht="35.1" customHeight="1">
      <c r="A27" s="1291" t="s">
        <v>407</v>
      </c>
      <c r="B27" s="1292"/>
      <c r="C27" s="1293"/>
      <c r="D27" s="831">
        <v>25</v>
      </c>
      <c r="E27" s="829"/>
      <c r="F27" s="355"/>
    </row>
    <row r="28" spans="1:6" ht="35.1" customHeight="1">
      <c r="A28" s="1291"/>
      <c r="B28" s="1292"/>
      <c r="C28" s="1293"/>
      <c r="D28" s="832"/>
      <c r="E28" s="740"/>
      <c r="F28" s="241"/>
    </row>
    <row r="29" spans="1:6" ht="35.1" customHeight="1">
      <c r="A29" s="1291"/>
      <c r="B29" s="1292"/>
      <c r="C29" s="1293"/>
      <c r="D29" s="832"/>
      <c r="E29" s="740"/>
      <c r="F29" s="241"/>
    </row>
    <row r="30" spans="1:6" ht="35.1" customHeight="1">
      <c r="A30" s="1291"/>
      <c r="B30" s="1292"/>
      <c r="C30" s="1293"/>
      <c r="D30" s="832"/>
      <c r="E30" s="740"/>
      <c r="F30" s="241"/>
    </row>
    <row r="31" spans="1:6" ht="35.1" customHeight="1">
      <c r="A31" s="1291"/>
      <c r="B31" s="1292"/>
      <c r="C31" s="1293"/>
      <c r="D31" s="833"/>
      <c r="E31" s="740"/>
      <c r="F31" s="241"/>
    </row>
    <row r="32" spans="1:6" ht="35.1" customHeight="1">
      <c r="A32" s="1291"/>
      <c r="B32" s="1292"/>
      <c r="C32" s="1293"/>
      <c r="D32" s="832"/>
      <c r="E32" s="740"/>
      <c r="F32" s="241"/>
    </row>
    <row r="33" spans="1:6" ht="35.1" customHeight="1">
      <c r="A33" s="1291"/>
      <c r="B33" s="1292"/>
      <c r="C33" s="1293"/>
      <c r="D33" s="832"/>
      <c r="E33" s="740"/>
      <c r="F33" s="241"/>
    </row>
    <row r="34" spans="1:6" ht="35.1" customHeight="1">
      <c r="A34" s="1291"/>
      <c r="B34" s="1292"/>
      <c r="C34" s="1293"/>
      <c r="D34" s="832"/>
      <c r="E34" s="740"/>
      <c r="F34" s="241"/>
    </row>
    <row r="35" spans="1:6" ht="35.1" customHeight="1">
      <c r="A35" s="1291"/>
      <c r="B35" s="1292"/>
      <c r="C35" s="1293"/>
      <c r="D35" s="832"/>
      <c r="E35" s="740"/>
      <c r="F35" s="241"/>
    </row>
    <row r="36" spans="1:6" ht="35.1" customHeight="1">
      <c r="A36" s="1291"/>
      <c r="B36" s="1292"/>
      <c r="C36" s="1293"/>
      <c r="D36" s="832"/>
      <c r="E36" s="740"/>
      <c r="F36" s="241"/>
    </row>
    <row r="37" spans="1:6" ht="35.1" customHeight="1">
      <c r="A37" s="1291"/>
      <c r="B37" s="1292"/>
      <c r="C37" s="1293"/>
      <c r="D37" s="833"/>
      <c r="E37" s="740"/>
      <c r="F37" s="241"/>
    </row>
    <row r="38" spans="1:6" ht="35.1" customHeight="1">
      <c r="A38" s="1291"/>
      <c r="B38" s="1292"/>
      <c r="C38" s="1293"/>
      <c r="D38" s="832"/>
      <c r="E38" s="740"/>
      <c r="F38" s="241"/>
    </row>
    <row r="39" spans="1:6" ht="35.1" customHeight="1">
      <c r="A39" s="1291"/>
      <c r="B39" s="1292"/>
      <c r="C39" s="1293"/>
      <c r="D39" s="832"/>
      <c r="E39" s="740"/>
      <c r="F39" s="241"/>
    </row>
    <row r="40" spans="1:6" ht="35.1" customHeight="1">
      <c r="A40" s="1291"/>
      <c r="B40" s="1292"/>
      <c r="C40" s="1293"/>
      <c r="D40" s="832"/>
      <c r="E40" s="740"/>
      <c r="F40" s="241"/>
    </row>
    <row r="41" spans="1:6" ht="35.1" customHeight="1">
      <c r="A41" s="1291"/>
      <c r="B41" s="1292"/>
      <c r="C41" s="1293"/>
      <c r="D41" s="833"/>
      <c r="E41" s="740"/>
      <c r="F41" s="241"/>
    </row>
    <row r="42" spans="1:6" ht="35.1" customHeight="1">
      <c r="A42" s="821" t="s">
        <v>2</v>
      </c>
      <c r="B42" s="749"/>
      <c r="C42" s="822"/>
      <c r="D42" s="750">
        <f>SUM(D27:D41)</f>
        <v>25</v>
      </c>
      <c r="E42" s="740"/>
      <c r="F42" s="241"/>
    </row>
    <row r="43" spans="1:6" ht="35.1" customHeight="1">
      <c r="A43" s="753" t="s">
        <v>293</v>
      </c>
      <c r="B43" s="754"/>
      <c r="C43" s="755"/>
      <c r="D43" s="820">
        <f>VLOOKUP(Background!$C$2,Inst_FPs,28,FALSE)</f>
        <v>25</v>
      </c>
      <c r="E43" s="740"/>
      <c r="F43" s="373">
        <f>IF(AND(D42&gt;0,D43&gt;0),MIN(D42,D43),0)</f>
        <v>25</v>
      </c>
    </row>
    <row r="44" spans="1:6" ht="35.1" customHeight="1" thickBot="1">
      <c r="A44" s="752" t="s">
        <v>353</v>
      </c>
      <c r="B44" s="748"/>
      <c r="C44" s="751"/>
      <c r="D44" s="756">
        <f>IF(D43&gt;0,D42-D43,0)</f>
        <v>0</v>
      </c>
      <c r="E44" s="740"/>
      <c r="F44" s="183"/>
    </row>
    <row r="45" spans="1:6" s="1032" customFormat="1" ht="30" customHeight="1">
      <c r="A45" s="777" t="s">
        <v>316</v>
      </c>
      <c r="B45" s="724"/>
      <c r="C45" s="724"/>
      <c r="D45" s="724"/>
      <c r="E45" s="768"/>
      <c r="F45" s="769"/>
    </row>
    <row r="46" spans="1:6" s="1032" customFormat="1" ht="20.100000000000001" customHeight="1">
      <c r="A46" s="770"/>
      <c r="B46" s="724"/>
      <c r="C46" s="724"/>
      <c r="D46" s="724"/>
      <c r="E46" s="768"/>
      <c r="F46" s="769"/>
    </row>
    <row r="47" spans="1:6" ht="24.95" customHeight="1">
      <c r="A47" s="739" t="s">
        <v>317</v>
      </c>
      <c r="B47" s="253"/>
      <c r="C47" s="253"/>
      <c r="D47" s="253"/>
      <c r="E47" s="646"/>
      <c r="F47" s="183"/>
    </row>
    <row r="48" spans="1:6" ht="15" customHeight="1" thickBot="1">
      <c r="A48" s="1089" t="str">
        <f>IF(D48=0,"Your Institution Does Not Complete Table 5c","")</f>
        <v/>
      </c>
      <c r="B48" s="375"/>
      <c r="C48" s="375"/>
      <c r="D48" s="841">
        <f>VLOOKUP(Background!$C$2,Inst_Tables,11,FALSE)</f>
        <v>1</v>
      </c>
      <c r="E48" s="646"/>
      <c r="F48" s="183"/>
    </row>
    <row r="49" spans="1:6" ht="69.95" customHeight="1">
      <c r="A49" s="730"/>
      <c r="B49" s="744"/>
      <c r="C49" s="745"/>
      <c r="D49" s="219" t="s">
        <v>303</v>
      </c>
      <c r="E49" s="645"/>
      <c r="F49" s="183"/>
    </row>
    <row r="50" spans="1:6" ht="24.95" customHeight="1">
      <c r="A50" s="743" t="s">
        <v>304</v>
      </c>
      <c r="B50" s="253"/>
      <c r="C50" s="646"/>
      <c r="D50" s="368" t="s">
        <v>32</v>
      </c>
      <c r="E50" s="827"/>
      <c r="F50" s="828"/>
    </row>
    <row r="51" spans="1:6" ht="24.95" customHeight="1">
      <c r="A51" s="725"/>
      <c r="B51" s="253"/>
      <c r="C51" s="646"/>
      <c r="D51" s="368" t="s">
        <v>48</v>
      </c>
      <c r="E51" s="827"/>
      <c r="F51" s="828"/>
    </row>
    <row r="52" spans="1:6" ht="24.95" customHeight="1">
      <c r="A52" s="726"/>
      <c r="B52" s="746"/>
      <c r="C52" s="747"/>
      <c r="D52" s="366" t="s">
        <v>4</v>
      </c>
      <c r="E52" s="829"/>
      <c r="F52" s="355"/>
    </row>
    <row r="53" spans="1:6" ht="35.1" customHeight="1">
      <c r="A53" s="1291" t="s">
        <v>408</v>
      </c>
      <c r="B53" s="1292"/>
      <c r="C53" s="1293"/>
      <c r="D53" s="831">
        <v>5</v>
      </c>
      <c r="E53" s="829"/>
      <c r="F53" s="355"/>
    </row>
    <row r="54" spans="1:6" ht="35.1" customHeight="1">
      <c r="A54" s="1291" t="s">
        <v>409</v>
      </c>
      <c r="B54" s="1292"/>
      <c r="C54" s="1293"/>
      <c r="D54" s="1167">
        <v>5</v>
      </c>
      <c r="E54" s="829"/>
      <c r="F54" s="355"/>
    </row>
    <row r="55" spans="1:6" ht="35.1" customHeight="1">
      <c r="A55" s="1291" t="s">
        <v>410</v>
      </c>
      <c r="B55" s="1292"/>
      <c r="C55" s="1293"/>
      <c r="D55" s="1167">
        <v>2</v>
      </c>
      <c r="E55" s="829"/>
      <c r="F55" s="355"/>
    </row>
    <row r="56" spans="1:6" ht="35.1" customHeight="1">
      <c r="A56" s="1291" t="s">
        <v>411</v>
      </c>
      <c r="B56" s="1292"/>
      <c r="C56" s="1293"/>
      <c r="D56" s="1167">
        <v>1</v>
      </c>
      <c r="E56" s="829"/>
      <c r="F56" s="355"/>
    </row>
    <row r="57" spans="1:6" ht="35.1" customHeight="1">
      <c r="A57" s="1291" t="s">
        <v>412</v>
      </c>
      <c r="B57" s="1292"/>
      <c r="C57" s="1293"/>
      <c r="D57" s="1167">
        <v>3</v>
      </c>
      <c r="E57" s="829"/>
      <c r="F57" s="355"/>
    </row>
    <row r="58" spans="1:6" ht="35.1" customHeight="1">
      <c r="A58" s="1291" t="s">
        <v>413</v>
      </c>
      <c r="B58" s="1292"/>
      <c r="C58" s="1293"/>
      <c r="D58" s="1167">
        <v>4</v>
      </c>
      <c r="E58" s="829"/>
      <c r="F58" s="355"/>
    </row>
    <row r="59" spans="1:6" ht="35.1" customHeight="1">
      <c r="A59" s="1291" t="s">
        <v>414</v>
      </c>
      <c r="B59" s="1292"/>
      <c r="C59" s="1293"/>
      <c r="D59" s="1167">
        <v>9</v>
      </c>
      <c r="E59" s="829"/>
      <c r="F59" s="355"/>
    </row>
    <row r="60" spans="1:6" ht="35.1" customHeight="1">
      <c r="A60" s="1291" t="s">
        <v>415</v>
      </c>
      <c r="B60" s="1292"/>
      <c r="C60" s="1293"/>
      <c r="D60" s="1167">
        <v>10</v>
      </c>
      <c r="E60" s="829"/>
      <c r="F60" s="355"/>
    </row>
    <row r="61" spans="1:6" ht="35.1" customHeight="1">
      <c r="A61" s="1291" t="s">
        <v>416</v>
      </c>
      <c r="B61" s="1292"/>
      <c r="C61" s="1293"/>
      <c r="D61" s="1167">
        <v>5</v>
      </c>
      <c r="E61" s="829"/>
      <c r="F61" s="355"/>
    </row>
    <row r="62" spans="1:6" ht="35.1" customHeight="1">
      <c r="A62" s="1291" t="s">
        <v>417</v>
      </c>
      <c r="B62" s="1292"/>
      <c r="C62" s="1293"/>
      <c r="D62" s="1167">
        <v>12</v>
      </c>
      <c r="E62" s="829"/>
      <c r="F62" s="355"/>
    </row>
    <row r="63" spans="1:6" ht="35.1" customHeight="1">
      <c r="A63" s="1291" t="s">
        <v>418</v>
      </c>
      <c r="B63" s="1292"/>
      <c r="C63" s="1293"/>
      <c r="D63" s="833">
        <v>9</v>
      </c>
      <c r="E63" s="829"/>
      <c r="F63" s="355"/>
    </row>
    <row r="64" spans="1:6" ht="35.1" customHeight="1">
      <c r="A64" s="1291" t="s">
        <v>419</v>
      </c>
      <c r="B64" s="1292"/>
      <c r="C64" s="1293"/>
      <c r="D64" s="832">
        <v>5</v>
      </c>
      <c r="E64" s="740"/>
      <c r="F64" s="241"/>
    </row>
    <row r="65" spans="1:6" ht="35.1" customHeight="1">
      <c r="A65" s="1291" t="s">
        <v>420</v>
      </c>
      <c r="B65" s="1292"/>
      <c r="C65" s="1293"/>
      <c r="D65" s="832">
        <v>4</v>
      </c>
      <c r="E65" s="740"/>
      <c r="F65" s="241"/>
    </row>
    <row r="66" spans="1:6" ht="35.1" customHeight="1">
      <c r="A66" s="1291" t="s">
        <v>421</v>
      </c>
      <c r="B66" s="1292"/>
      <c r="C66" s="1293"/>
      <c r="D66" s="832">
        <v>10</v>
      </c>
      <c r="E66" s="740"/>
      <c r="F66" s="241"/>
    </row>
    <row r="67" spans="1:6" ht="35.1" customHeight="1">
      <c r="A67" s="1291" t="s">
        <v>422</v>
      </c>
      <c r="B67" s="1292"/>
      <c r="C67" s="1293"/>
      <c r="D67" s="833">
        <v>10</v>
      </c>
      <c r="E67" s="740"/>
      <c r="F67" s="241"/>
    </row>
    <row r="68" spans="1:6" ht="35.1" customHeight="1">
      <c r="A68" s="1291" t="s">
        <v>423</v>
      </c>
      <c r="B68" s="1292"/>
      <c r="C68" s="1293"/>
      <c r="D68" s="832">
        <v>2</v>
      </c>
      <c r="E68" s="740"/>
      <c r="F68" s="241"/>
    </row>
    <row r="69" spans="1:6" ht="35.1" customHeight="1">
      <c r="A69" s="1291" t="s">
        <v>424</v>
      </c>
      <c r="B69" s="1292"/>
      <c r="C69" s="1293"/>
      <c r="D69" s="832">
        <v>17</v>
      </c>
      <c r="E69" s="740"/>
      <c r="F69" s="241"/>
    </row>
    <row r="70" spans="1:6" ht="35.1" customHeight="1">
      <c r="A70" s="1291" t="s">
        <v>425</v>
      </c>
      <c r="B70" s="1292"/>
      <c r="C70" s="1293"/>
      <c r="D70" s="832">
        <v>6</v>
      </c>
      <c r="E70" s="740"/>
      <c r="F70" s="241"/>
    </row>
    <row r="71" spans="1:6" ht="35.1" customHeight="1">
      <c r="A71" s="1291" t="s">
        <v>426</v>
      </c>
      <c r="B71" s="1292"/>
      <c r="C71" s="1293"/>
      <c r="D71" s="832">
        <v>1</v>
      </c>
      <c r="E71" s="740"/>
      <c r="F71" s="241"/>
    </row>
    <row r="72" spans="1:6" ht="35.1" customHeight="1">
      <c r="A72" s="1291" t="s">
        <v>427</v>
      </c>
      <c r="B72" s="1292"/>
      <c r="C72" s="1293"/>
      <c r="D72" s="832">
        <v>1</v>
      </c>
      <c r="E72" s="740"/>
      <c r="F72" s="241"/>
    </row>
    <row r="73" spans="1:6" ht="35.1" customHeight="1">
      <c r="A73" s="1291"/>
      <c r="B73" s="1292"/>
      <c r="C73" s="1293"/>
      <c r="D73" s="833"/>
      <c r="E73" s="740"/>
      <c r="F73" s="241"/>
    </row>
    <row r="74" spans="1:6" ht="35.1" customHeight="1">
      <c r="A74" s="1291"/>
      <c r="B74" s="1292"/>
      <c r="C74" s="1293"/>
      <c r="D74" s="832"/>
      <c r="E74" s="740"/>
      <c r="F74" s="241"/>
    </row>
    <row r="75" spans="1:6" ht="35.1" customHeight="1">
      <c r="A75" s="1291"/>
      <c r="B75" s="1292"/>
      <c r="C75" s="1293"/>
      <c r="D75" s="832"/>
      <c r="E75" s="740"/>
      <c r="F75" s="241"/>
    </row>
    <row r="76" spans="1:6" ht="35.1" customHeight="1">
      <c r="A76" s="1291"/>
      <c r="B76" s="1292"/>
      <c r="C76" s="1293"/>
      <c r="D76" s="832"/>
      <c r="E76" s="740"/>
      <c r="F76" s="241"/>
    </row>
    <row r="77" spans="1:6" ht="35.1" customHeight="1">
      <c r="A77" s="1291"/>
      <c r="B77" s="1292"/>
      <c r="C77" s="1293"/>
      <c r="D77" s="833"/>
      <c r="E77" s="740"/>
      <c r="F77" s="241"/>
    </row>
    <row r="78" spans="1:6" ht="35.1" customHeight="1">
      <c r="A78" s="821" t="s">
        <v>2</v>
      </c>
      <c r="B78" s="749"/>
      <c r="C78" s="822"/>
      <c r="D78" s="750">
        <f>SUM(D53:D77)</f>
        <v>121</v>
      </c>
      <c r="E78" s="740"/>
      <c r="F78" s="241"/>
    </row>
    <row r="79" spans="1:6" ht="35.1" customHeight="1">
      <c r="A79" s="753" t="s">
        <v>293</v>
      </c>
      <c r="B79" s="754"/>
      <c r="C79" s="755"/>
      <c r="D79" s="820">
        <f>VLOOKUP(Background!$C$2,Inst_FPs,29,FALSE)</f>
        <v>122</v>
      </c>
      <c r="E79" s="740"/>
      <c r="F79" s="373">
        <f>IF(AND(D78&gt;0,D79&gt;0),MIN(D78,D79),0)</f>
        <v>121</v>
      </c>
    </row>
    <row r="80" spans="1:6" ht="35.1" customHeight="1" thickBot="1">
      <c r="A80" s="752" t="s">
        <v>353</v>
      </c>
      <c r="B80" s="748"/>
      <c r="C80" s="751"/>
      <c r="D80" s="756">
        <f>IF(D79&gt;0,D78-D79,0)</f>
        <v>-1</v>
      </c>
      <c r="E80" s="740"/>
      <c r="F80" s="241"/>
    </row>
    <row r="81" spans="1:6" ht="30" customHeight="1">
      <c r="A81" s="777" t="s">
        <v>318</v>
      </c>
      <c r="B81" s="741"/>
      <c r="C81" s="742"/>
      <c r="D81" s="742"/>
      <c r="E81" s="740"/>
      <c r="F81" s="241"/>
    </row>
    <row r="82" spans="1:6" ht="20.100000000000001" customHeight="1">
      <c r="A82" s="738"/>
      <c r="B82" s="741"/>
      <c r="C82" s="742"/>
      <c r="D82" s="742"/>
      <c r="E82" s="740"/>
      <c r="F82" s="241"/>
    </row>
    <row r="83" spans="1:6" ht="24.95" customHeight="1">
      <c r="A83" s="739" t="s">
        <v>319</v>
      </c>
      <c r="B83" s="253"/>
      <c r="C83" s="253"/>
      <c r="D83" s="253"/>
      <c r="E83" s="740"/>
      <c r="F83" s="241"/>
    </row>
    <row r="84" spans="1:6" ht="15" customHeight="1" thickBot="1">
      <c r="A84" s="1089" t="str">
        <f>IF(D84=0,"Your Institution Does Not Complete Table 5d","")</f>
        <v/>
      </c>
      <c r="B84" s="375"/>
      <c r="C84" s="375"/>
      <c r="D84" s="841">
        <f>VLOOKUP(Background!$C$2,Inst_Tables,12,FALSE)</f>
        <v>1</v>
      </c>
      <c r="E84" s="740"/>
      <c r="F84" s="241"/>
    </row>
    <row r="85" spans="1:6" ht="39.950000000000003" customHeight="1">
      <c r="A85" s="731"/>
      <c r="B85" s="1294" t="s">
        <v>324</v>
      </c>
      <c r="C85" s="1295"/>
      <c r="D85" s="1296"/>
      <c r="E85" s="740"/>
      <c r="F85" s="241"/>
    </row>
    <row r="86" spans="1:6" ht="65.099999999999994" customHeight="1">
      <c r="A86" s="763"/>
      <c r="B86" s="764" t="s">
        <v>306</v>
      </c>
      <c r="C86" s="764" t="s">
        <v>307</v>
      </c>
      <c r="D86" s="765" t="s">
        <v>2</v>
      </c>
      <c r="E86" s="740"/>
      <c r="F86" s="241"/>
    </row>
    <row r="87" spans="1:6" ht="24.95" customHeight="1">
      <c r="A87" s="732" t="s">
        <v>305</v>
      </c>
      <c r="B87" s="367" t="s">
        <v>32</v>
      </c>
      <c r="C87" s="367" t="s">
        <v>32</v>
      </c>
      <c r="D87" s="368" t="s">
        <v>32</v>
      </c>
      <c r="E87" s="740"/>
      <c r="F87" s="241"/>
    </row>
    <row r="88" spans="1:6" ht="24.95" customHeight="1">
      <c r="A88" s="733"/>
      <c r="B88" s="367" t="s">
        <v>83</v>
      </c>
      <c r="C88" s="254" t="s">
        <v>48</v>
      </c>
      <c r="D88" s="368" t="s">
        <v>82</v>
      </c>
      <c r="E88" s="740"/>
      <c r="F88" s="241"/>
    </row>
    <row r="89" spans="1:6" ht="24.95" customHeight="1">
      <c r="A89" s="734"/>
      <c r="B89" s="364" t="s">
        <v>4</v>
      </c>
      <c r="C89" s="365" t="s">
        <v>5</v>
      </c>
      <c r="D89" s="366" t="s">
        <v>6</v>
      </c>
      <c r="E89" s="740"/>
      <c r="F89" s="241"/>
    </row>
    <row r="90" spans="1:6" ht="35.1" customHeight="1">
      <c r="A90" s="1107" t="s">
        <v>430</v>
      </c>
      <c r="B90" s="307">
        <v>12</v>
      </c>
      <c r="C90" s="307"/>
      <c r="D90" s="766">
        <f>SUM(B90:C90)</f>
        <v>12</v>
      </c>
      <c r="E90" s="740"/>
      <c r="F90" s="241"/>
    </row>
    <row r="91" spans="1:6" ht="35.1" customHeight="1">
      <c r="A91" s="1108" t="s">
        <v>431</v>
      </c>
      <c r="B91" s="305">
        <v>2</v>
      </c>
      <c r="C91" s="305"/>
      <c r="D91" s="767">
        <f t="shared" ref="D91:D99" si="2">SUM(B91:C91)</f>
        <v>2</v>
      </c>
      <c r="E91" s="740"/>
      <c r="F91" s="241"/>
    </row>
    <row r="92" spans="1:6" ht="35.1" customHeight="1">
      <c r="A92" s="1108" t="s">
        <v>432</v>
      </c>
      <c r="B92" s="305">
        <v>1</v>
      </c>
      <c r="C92" s="305"/>
      <c r="D92" s="767">
        <f t="shared" si="2"/>
        <v>1</v>
      </c>
      <c r="E92" s="740"/>
      <c r="F92" s="241"/>
    </row>
    <row r="93" spans="1:6" ht="35.1" customHeight="1">
      <c r="A93" s="1108" t="s">
        <v>433</v>
      </c>
      <c r="B93" s="305">
        <v>1</v>
      </c>
      <c r="C93" s="305"/>
      <c r="D93" s="767">
        <f t="shared" si="2"/>
        <v>1</v>
      </c>
      <c r="E93" s="740"/>
      <c r="F93" s="241"/>
    </row>
    <row r="94" spans="1:6" ht="35.1" customHeight="1">
      <c r="A94" s="1108"/>
      <c r="B94" s="305"/>
      <c r="C94" s="305"/>
      <c r="D94" s="767">
        <f t="shared" si="2"/>
        <v>0</v>
      </c>
      <c r="E94" s="740"/>
      <c r="F94" s="241"/>
    </row>
    <row r="95" spans="1:6" ht="35.1" customHeight="1">
      <c r="A95" s="1108"/>
      <c r="B95" s="305"/>
      <c r="C95" s="305"/>
      <c r="D95" s="767">
        <f t="shared" si="2"/>
        <v>0</v>
      </c>
      <c r="E95" s="740"/>
      <c r="F95" s="241"/>
    </row>
    <row r="96" spans="1:6" ht="35.1" customHeight="1">
      <c r="A96" s="1108"/>
      <c r="B96" s="305"/>
      <c r="C96" s="305"/>
      <c r="D96" s="767">
        <f t="shared" si="2"/>
        <v>0</v>
      </c>
      <c r="E96" s="740"/>
      <c r="F96" s="241"/>
    </row>
    <row r="97" spans="1:6" ht="35.1" customHeight="1">
      <c r="A97" s="1108"/>
      <c r="B97" s="305"/>
      <c r="C97" s="305"/>
      <c r="D97" s="767">
        <f t="shared" si="2"/>
        <v>0</v>
      </c>
      <c r="E97" s="740"/>
      <c r="F97" s="241"/>
    </row>
    <row r="98" spans="1:6" ht="35.1" customHeight="1">
      <c r="A98" s="1108"/>
      <c r="B98" s="305"/>
      <c r="C98" s="305"/>
      <c r="D98" s="767">
        <f t="shared" si="2"/>
        <v>0</v>
      </c>
      <c r="E98" s="740"/>
      <c r="F98" s="241"/>
    </row>
    <row r="99" spans="1:6" ht="35.1" customHeight="1">
      <c r="A99" s="1108"/>
      <c r="B99" s="305"/>
      <c r="C99" s="305"/>
      <c r="D99" s="767">
        <f t="shared" si="2"/>
        <v>0</v>
      </c>
      <c r="E99" s="740"/>
      <c r="F99" s="241"/>
    </row>
    <row r="100" spans="1:6" ht="35.1" customHeight="1">
      <c r="A100" s="1109" t="s">
        <v>2</v>
      </c>
      <c r="B100" s="758"/>
      <c r="C100" s="758"/>
      <c r="D100" s="757">
        <f>SUM(D90:D99)</f>
        <v>16</v>
      </c>
      <c r="E100" s="740"/>
      <c r="F100" s="241"/>
    </row>
    <row r="101" spans="1:6" ht="35.1" customHeight="1">
      <c r="A101" s="1110" t="s">
        <v>293</v>
      </c>
      <c r="B101" s="759"/>
      <c r="C101" s="760"/>
      <c r="D101" s="820">
        <f>VLOOKUP(Background!$C$2,Inst_FPs,27,FALSE)</f>
        <v>16</v>
      </c>
      <c r="E101" s="740"/>
      <c r="F101" s="373">
        <f>IF(AND(D100&gt;0,D101&gt;0),MIN(D100,D101),0)</f>
        <v>16</v>
      </c>
    </row>
    <row r="102" spans="1:6" ht="35.1" customHeight="1" thickBot="1">
      <c r="A102" s="1111" t="s">
        <v>353</v>
      </c>
      <c r="B102" s="761"/>
      <c r="C102" s="762"/>
      <c r="D102" s="756">
        <f>IF(D101&gt;0,D100-D101,0)</f>
        <v>0</v>
      </c>
      <c r="E102" s="740"/>
      <c r="F102" s="241"/>
    </row>
    <row r="103" spans="1:6" ht="30" customHeight="1">
      <c r="A103" s="777" t="s">
        <v>329</v>
      </c>
      <c r="B103" s="741"/>
      <c r="C103" s="742"/>
      <c r="D103" s="742"/>
      <c r="E103" s="740"/>
      <c r="F103" s="241"/>
    </row>
    <row r="104" spans="1:6" ht="20.100000000000001" customHeight="1">
      <c r="A104" s="738"/>
      <c r="B104" s="741"/>
      <c r="C104" s="742"/>
      <c r="D104" s="742"/>
      <c r="E104" s="740"/>
      <c r="F104" s="241"/>
    </row>
    <row r="105" spans="1:6" ht="24.95" customHeight="1">
      <c r="A105" s="739" t="s">
        <v>320</v>
      </c>
      <c r="B105" s="253"/>
      <c r="C105" s="253"/>
      <c r="D105" s="253"/>
      <c r="E105" s="646"/>
      <c r="F105" s="241"/>
    </row>
    <row r="106" spans="1:6" ht="15" customHeight="1" thickBot="1">
      <c r="A106" s="1089" t="str">
        <f>IF(D106=0,"Your Institution Does Not Complete Table 5e","")</f>
        <v/>
      </c>
      <c r="B106" s="375"/>
      <c r="C106" s="375"/>
      <c r="D106" s="841">
        <f>VLOOKUP(Background!$C$2,Inst_Tables,13,FALSE)</f>
        <v>1</v>
      </c>
      <c r="E106" s="646"/>
      <c r="F106" s="241"/>
    </row>
    <row r="107" spans="1:6" ht="69.95" customHeight="1">
      <c r="A107" s="730"/>
      <c r="B107" s="744"/>
      <c r="C107" s="745"/>
      <c r="D107" s="219" t="s">
        <v>303</v>
      </c>
      <c r="E107" s="645"/>
      <c r="F107" s="241"/>
    </row>
    <row r="108" spans="1:6" ht="24.95" customHeight="1">
      <c r="A108" s="743" t="s">
        <v>304</v>
      </c>
      <c r="B108" s="253"/>
      <c r="C108" s="646"/>
      <c r="D108" s="368" t="s">
        <v>32</v>
      </c>
      <c r="E108" s="830"/>
      <c r="F108" s="241"/>
    </row>
    <row r="109" spans="1:6" ht="24.95" customHeight="1">
      <c r="A109" s="725"/>
      <c r="B109" s="253"/>
      <c r="C109" s="646"/>
      <c r="D109" s="368" t="s">
        <v>48</v>
      </c>
      <c r="E109" s="827"/>
      <c r="F109" s="241"/>
    </row>
    <row r="110" spans="1:6" ht="24.95" customHeight="1">
      <c r="A110" s="726"/>
      <c r="B110" s="746"/>
      <c r="C110" s="747"/>
      <c r="D110" s="366" t="s">
        <v>4</v>
      </c>
      <c r="E110" s="829"/>
      <c r="F110" s="241"/>
    </row>
    <row r="111" spans="1:6" ht="35.1" customHeight="1">
      <c r="A111" s="1291" t="s">
        <v>428</v>
      </c>
      <c r="B111" s="1292"/>
      <c r="C111" s="1293"/>
      <c r="D111" s="831">
        <v>28.8</v>
      </c>
      <c r="E111" s="829"/>
      <c r="F111" s="241"/>
    </row>
    <row r="112" spans="1:6" ht="35.1" customHeight="1">
      <c r="A112" s="1291" t="s">
        <v>429</v>
      </c>
      <c r="B112" s="1292"/>
      <c r="C112" s="1293"/>
      <c r="D112" s="832">
        <v>26</v>
      </c>
      <c r="E112" s="740"/>
      <c r="F112" s="241"/>
    </row>
    <row r="113" spans="1:6" ht="35.1" customHeight="1">
      <c r="A113" s="1291"/>
      <c r="B113" s="1292"/>
      <c r="C113" s="1293"/>
      <c r="D113" s="832"/>
      <c r="E113" s="740"/>
      <c r="F113" s="241"/>
    </row>
    <row r="114" spans="1:6" ht="35.1" customHeight="1">
      <c r="A114" s="1291"/>
      <c r="B114" s="1292"/>
      <c r="C114" s="1293"/>
      <c r="D114" s="832"/>
      <c r="E114" s="740"/>
      <c r="F114" s="241"/>
    </row>
    <row r="115" spans="1:6" ht="35.1" customHeight="1">
      <c r="A115" s="1291"/>
      <c r="B115" s="1292"/>
      <c r="C115" s="1293"/>
      <c r="D115" s="833"/>
      <c r="E115" s="740"/>
      <c r="F115" s="241"/>
    </row>
    <row r="116" spans="1:6" ht="35.1" customHeight="1">
      <c r="A116" s="1291"/>
      <c r="B116" s="1292"/>
      <c r="C116" s="1293"/>
      <c r="D116" s="832"/>
      <c r="E116" s="740"/>
      <c r="F116" s="241"/>
    </row>
    <row r="117" spans="1:6" ht="35.1" customHeight="1">
      <c r="A117" s="1291"/>
      <c r="B117" s="1292"/>
      <c r="C117" s="1293"/>
      <c r="D117" s="832"/>
      <c r="E117" s="740"/>
      <c r="F117" s="241"/>
    </row>
    <row r="118" spans="1:6" ht="35.1" customHeight="1">
      <c r="A118" s="1291"/>
      <c r="B118" s="1292"/>
      <c r="C118" s="1293"/>
      <c r="D118" s="832"/>
      <c r="E118" s="740"/>
      <c r="F118" s="241"/>
    </row>
    <row r="119" spans="1:6" ht="35.1" customHeight="1">
      <c r="A119" s="1291"/>
      <c r="B119" s="1292"/>
      <c r="C119" s="1293"/>
      <c r="D119" s="832"/>
      <c r="E119" s="740"/>
      <c r="F119" s="241"/>
    </row>
    <row r="120" spans="1:6" ht="35.1" customHeight="1">
      <c r="A120" s="1291"/>
      <c r="B120" s="1292"/>
      <c r="C120" s="1293"/>
      <c r="D120" s="832"/>
      <c r="E120" s="740"/>
      <c r="F120" s="241"/>
    </row>
    <row r="121" spans="1:6" ht="35.1" customHeight="1">
      <c r="A121" s="1291"/>
      <c r="B121" s="1292"/>
      <c r="C121" s="1293"/>
      <c r="D121" s="833"/>
      <c r="E121" s="740"/>
      <c r="F121" s="241"/>
    </row>
    <row r="122" spans="1:6" ht="35.1" customHeight="1">
      <c r="A122" s="1291"/>
      <c r="B122" s="1292"/>
      <c r="C122" s="1293"/>
      <c r="D122" s="832"/>
      <c r="E122" s="740"/>
      <c r="F122" s="241"/>
    </row>
    <row r="123" spans="1:6" ht="35.1" customHeight="1">
      <c r="A123" s="1291"/>
      <c r="B123" s="1292"/>
      <c r="C123" s="1293"/>
      <c r="D123" s="832"/>
      <c r="E123" s="740"/>
      <c r="F123" s="241"/>
    </row>
    <row r="124" spans="1:6" ht="35.1" customHeight="1">
      <c r="A124" s="1291"/>
      <c r="B124" s="1292"/>
      <c r="C124" s="1293"/>
      <c r="D124" s="832"/>
      <c r="E124" s="740"/>
      <c r="F124" s="241"/>
    </row>
    <row r="125" spans="1:6" ht="35.1" customHeight="1">
      <c r="A125" s="1291"/>
      <c r="B125" s="1292"/>
      <c r="C125" s="1293"/>
      <c r="D125" s="833"/>
      <c r="E125" s="740"/>
      <c r="F125" s="241"/>
    </row>
    <row r="126" spans="1:6" ht="35.1" customHeight="1">
      <c r="A126" s="821" t="s">
        <v>2</v>
      </c>
      <c r="B126" s="749"/>
      <c r="C126" s="822"/>
      <c r="D126" s="750">
        <f>SUM(D111:D125)</f>
        <v>54.8</v>
      </c>
      <c r="E126" s="740"/>
      <c r="F126" s="331"/>
    </row>
    <row r="127" spans="1:6" ht="35.1" customHeight="1">
      <c r="A127" s="753" t="s">
        <v>293</v>
      </c>
      <c r="B127" s="754"/>
      <c r="C127" s="755"/>
      <c r="D127" s="820">
        <f>VLOOKUP(Background!$C$2,Inst_FPs,33,FALSE)</f>
        <v>54.8</v>
      </c>
      <c r="E127" s="740"/>
      <c r="F127" s="373">
        <f>IF(AND(D126&gt;0,D127&gt;0),MIN(D126,D127),0)</f>
        <v>54.8</v>
      </c>
    </row>
    <row r="128" spans="1:6" ht="35.1" customHeight="1" thickBot="1">
      <c r="A128" s="752" t="s">
        <v>353</v>
      </c>
      <c r="B128" s="748"/>
      <c r="C128" s="751"/>
      <c r="D128" s="756">
        <f>IF(D127&gt;0,D126-D127,0)</f>
        <v>0</v>
      </c>
      <c r="E128" s="740"/>
      <c r="F128" s="472"/>
    </row>
    <row r="129" spans="1:6" ht="30" customHeight="1">
      <c r="A129" s="778" t="s">
        <v>321</v>
      </c>
      <c r="B129" s="741"/>
      <c r="C129" s="742"/>
      <c r="D129" s="742"/>
      <c r="E129" s="740"/>
      <c r="F129" s="843"/>
    </row>
    <row r="130" spans="1:6" ht="15" customHeight="1">
      <c r="A130" s="771"/>
      <c r="B130" s="772"/>
      <c r="C130" s="773"/>
      <c r="D130" s="773"/>
      <c r="E130" s="774"/>
      <c r="F130" s="241"/>
    </row>
    <row r="131" spans="1:6" s="1037" customFormat="1" ht="15.75" customHeight="1"/>
    <row r="132" spans="1:6" s="1037" customFormat="1" ht="20.100000000000001" hidden="1" customHeight="1">
      <c r="A132" s="1038" t="s">
        <v>2</v>
      </c>
    </row>
    <row r="133" spans="1:6" s="1037" customFormat="1" ht="20.100000000000001" hidden="1" customHeight="1">
      <c r="A133" s="1039" t="s">
        <v>348</v>
      </c>
      <c r="B133" s="1040">
        <f>SUM(B14:B17,D43,D79,D101,D127)</f>
        <v>417.8</v>
      </c>
      <c r="C133" s="1041" t="s">
        <v>350</v>
      </c>
      <c r="D133" s="1042">
        <f>VLOOKUP(Background!$C$2,Inst_FPs,37,FALSE)</f>
        <v>417.8</v>
      </c>
    </row>
    <row r="134" spans="1:6" ht="20.100000000000001" hidden="1" customHeight="1">
      <c r="A134" s="1043" t="s">
        <v>349</v>
      </c>
      <c r="B134" s="1044">
        <f>SUM(F14,F15,F16,F17,F43,F79,F101,F127)</f>
        <v>384.8</v>
      </c>
    </row>
    <row r="135" spans="1:6" ht="15.75" customHeight="1"/>
    <row r="136" spans="1:6" ht="15.75" customHeight="1"/>
    <row r="137" spans="1:6" ht="15.75" customHeight="1"/>
    <row r="138" spans="1:6" ht="15.75" customHeight="1"/>
    <row r="139" spans="1:6" ht="15.75" customHeight="1"/>
    <row r="140" spans="1:6" ht="15.75" customHeight="1"/>
    <row r="141" spans="1:6" ht="15.75" customHeight="1"/>
    <row r="142" spans="1:6" ht="15.75" customHeight="1"/>
    <row r="143" spans="1:6" ht="15.75" customHeight="1"/>
    <row r="144" spans="1:6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</sheetData>
  <sheetProtection password="E23E" sheet="1" objects="1" scenarios="1"/>
  <mergeCells count="58">
    <mergeCell ref="A59:C59"/>
    <mergeCell ref="A60:C60"/>
    <mergeCell ref="A61:C61"/>
    <mergeCell ref="A62:C62"/>
    <mergeCell ref="A63:C63"/>
    <mergeCell ref="A54:C54"/>
    <mergeCell ref="A55:C55"/>
    <mergeCell ref="A56:C56"/>
    <mergeCell ref="A57:C57"/>
    <mergeCell ref="A58:C58"/>
    <mergeCell ref="A72:C72"/>
    <mergeCell ref="B4:D4"/>
    <mergeCell ref="A53:C53"/>
    <mergeCell ref="A64:C64"/>
    <mergeCell ref="A65:C65"/>
    <mergeCell ref="A66:C66"/>
    <mergeCell ref="A34:C34"/>
    <mergeCell ref="A35:C35"/>
    <mergeCell ref="A36:C36"/>
    <mergeCell ref="A37:C37"/>
    <mergeCell ref="A67:C67"/>
    <mergeCell ref="A68:C68"/>
    <mergeCell ref="A69:C69"/>
    <mergeCell ref="A70:C70"/>
    <mergeCell ref="A71:C71"/>
    <mergeCell ref="A38:C38"/>
    <mergeCell ref="A125:C125"/>
    <mergeCell ref="B85:D85"/>
    <mergeCell ref="A27:C27"/>
    <mergeCell ref="A28:C28"/>
    <mergeCell ref="A29:C29"/>
    <mergeCell ref="A30:C30"/>
    <mergeCell ref="A31:C31"/>
    <mergeCell ref="A32:C32"/>
    <mergeCell ref="A33:C33"/>
    <mergeCell ref="A118:C118"/>
    <mergeCell ref="A119:C119"/>
    <mergeCell ref="A120:C120"/>
    <mergeCell ref="A121:C121"/>
    <mergeCell ref="A122:C122"/>
    <mergeCell ref="A123:C123"/>
    <mergeCell ref="A112:C112"/>
    <mergeCell ref="F10:F12"/>
    <mergeCell ref="A39:C39"/>
    <mergeCell ref="A40:C40"/>
    <mergeCell ref="A41:C41"/>
    <mergeCell ref="A124:C124"/>
    <mergeCell ref="A113:C113"/>
    <mergeCell ref="A114:C114"/>
    <mergeCell ref="A115:C115"/>
    <mergeCell ref="A116:C116"/>
    <mergeCell ref="A117:C117"/>
    <mergeCell ref="A73:C73"/>
    <mergeCell ref="A74:C74"/>
    <mergeCell ref="A75:C75"/>
    <mergeCell ref="A76:C76"/>
    <mergeCell ref="A77:C77"/>
    <mergeCell ref="A111:C111"/>
  </mergeCells>
  <conditionalFormatting sqref="C14:C17">
    <cfRule type="expression" dxfId="21" priority="23" stopIfTrue="1">
      <formula>B14&gt;0</formula>
    </cfRule>
  </conditionalFormatting>
  <conditionalFormatting sqref="A2">
    <cfRule type="expression" dxfId="20" priority="20" stopIfTrue="1">
      <formula>#REF!=0</formula>
    </cfRule>
  </conditionalFormatting>
  <conditionalFormatting sqref="A1:E1">
    <cfRule type="expression" dxfId="19" priority="64" stopIfTrue="1">
      <formula>#REF!=0</formula>
    </cfRule>
  </conditionalFormatting>
  <conditionalFormatting sqref="C126">
    <cfRule type="expression" dxfId="18" priority="14" stopIfTrue="1">
      <formula>B126&gt;0</formula>
    </cfRule>
  </conditionalFormatting>
  <conditionalFormatting sqref="C42">
    <cfRule type="expression" dxfId="17" priority="12" stopIfTrue="1">
      <formula>B42&gt;0</formula>
    </cfRule>
  </conditionalFormatting>
  <conditionalFormatting sqref="A113:D125">
    <cfRule type="expression" dxfId="16" priority="11">
      <formula>$D$127=0</formula>
    </cfRule>
  </conditionalFormatting>
  <conditionalFormatting sqref="A27:D41">
    <cfRule type="expression" dxfId="15" priority="10">
      <formula>$D$43=0</formula>
    </cfRule>
  </conditionalFormatting>
  <conditionalFormatting sqref="A9">
    <cfRule type="expression" dxfId="14" priority="9" stopIfTrue="1">
      <formula>#REF!=0</formula>
    </cfRule>
  </conditionalFormatting>
  <conditionalFormatting sqref="A22">
    <cfRule type="expression" dxfId="13" priority="8" stopIfTrue="1">
      <formula>#REF!=0</formula>
    </cfRule>
  </conditionalFormatting>
  <conditionalFormatting sqref="A48">
    <cfRule type="expression" dxfId="12" priority="7" stopIfTrue="1">
      <formula>#REF!=0</formula>
    </cfRule>
  </conditionalFormatting>
  <conditionalFormatting sqref="A84">
    <cfRule type="expression" dxfId="11" priority="6" stopIfTrue="1">
      <formula>#REF!=0</formula>
    </cfRule>
  </conditionalFormatting>
  <conditionalFormatting sqref="A106">
    <cfRule type="expression" dxfId="10" priority="5" stopIfTrue="1">
      <formula>#REF!=0</formula>
    </cfRule>
  </conditionalFormatting>
  <conditionalFormatting sqref="A73:D77">
    <cfRule type="expression" dxfId="9" priority="4">
      <formula>$D$79=0</formula>
    </cfRule>
  </conditionalFormatting>
  <conditionalFormatting sqref="A90:C99">
    <cfRule type="expression" dxfId="8" priority="3">
      <formula>$D$101=0</formula>
    </cfRule>
  </conditionalFormatting>
  <conditionalFormatting sqref="A53:D53 A64:D72 A54:A63 D54:D63">
    <cfRule type="expression" dxfId="7" priority="2">
      <formula>$D$79=0</formula>
    </cfRule>
  </conditionalFormatting>
  <conditionalFormatting sqref="A111:D112">
    <cfRule type="expression" dxfId="6" priority="1">
      <formula>$D$127=0</formula>
    </cfRule>
  </conditionalFormatting>
  <dataValidations count="2">
    <dataValidation allowBlank="1" sqref="C2:D3 B2:B4 B10:D13 E5:E22 A46 B126 A85:A102 A131:A65602 C86:C99 A82 E31:E48 B85:B100 B42:B46 B107:C110 C79:C83 D27:D46 E67:E106 B23:D26 F28:F43 D14:D19 A10:A17 A23:A44 D107:D65602 A49:A80 A104 F45:F49 E115:E65602 G1:IP1048576 F130:F65602 B49:D52 C43:C46 B14:B19 D86:D105 F13:F23 B20:D21 B47:D47 B78:B83 B101:C105 D53:D83 B127:C65602 F64:F128 F2:F10 A107:A128"/>
    <dataValidation type="custom" allowBlank="1" showErrorMessage="1" errorTitle="No HFU funded places" error="You cannot enter HFU funded student FTE where no HFU funded places exist " sqref="C78 C126 C100 C42 C14:C19">
      <formula1>AND($B14&gt;0,$C14&gt;=0)</formula1>
    </dataValidation>
  </dataValidations>
  <printOptions horizontalCentered="1"/>
  <pageMargins left="0.19685039370078741" right="0.19685039370078741" top="0.15748031496062992" bottom="0.15748031496062992" header="0.15748031496062992" footer="0.15748031496062992"/>
  <pageSetup paperSize="9" scale="55" fitToHeight="3" orientation="portrait" r:id="rId1"/>
  <headerFooter alignWithMargins="0"/>
  <rowBreaks count="4" manualBreakCount="4">
    <brk id="20" max="4" man="1"/>
    <brk id="46" max="4" man="1"/>
    <brk id="82" max="4" man="1"/>
    <brk id="104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="75" zoomScaleNormal="75" workbookViewId="0"/>
  </sheetViews>
  <sheetFormatPr defaultColWidth="10.7109375" defaultRowHeight="18.95" customHeight="1"/>
  <cols>
    <col min="1" max="1" width="72.28515625" style="1010" customWidth="1"/>
    <col min="2" max="6" width="15.7109375" style="1045" customWidth="1"/>
    <col min="7" max="8" width="15.7109375" style="1010" customWidth="1"/>
    <col min="9" max="9" width="4" style="1010" customWidth="1"/>
    <col min="10" max="16384" width="10.7109375" style="1010"/>
  </cols>
  <sheetData>
    <row r="1" spans="1:9" ht="30" customHeight="1">
      <c r="A1" s="626" t="s">
        <v>277</v>
      </c>
      <c r="B1" s="1049"/>
      <c r="C1" s="1049"/>
      <c r="D1" s="1049"/>
      <c r="E1" s="1049"/>
      <c r="F1" s="1049"/>
      <c r="G1" s="1050"/>
      <c r="H1" s="1050"/>
      <c r="I1" s="1051"/>
    </row>
    <row r="2" spans="1:9" ht="9.9499999999999993" customHeight="1" thickBot="1">
      <c r="A2" s="1052"/>
      <c r="B2" s="1053"/>
      <c r="C2" s="1053"/>
      <c r="D2" s="1053"/>
      <c r="E2" s="1053"/>
      <c r="F2" s="1053"/>
      <c r="G2" s="186"/>
      <c r="H2" s="186"/>
      <c r="I2" s="644"/>
    </row>
    <row r="3" spans="1:9" ht="35.1" customHeight="1" thickBot="1">
      <c r="A3" s="1054" t="s">
        <v>0</v>
      </c>
      <c r="B3" s="1297" t="str">
        <f>Background!D2</f>
        <v>Glasgow, University of</v>
      </c>
      <c r="C3" s="1298"/>
      <c r="D3" s="1298"/>
      <c r="E3" s="1299"/>
      <c r="F3" s="1053"/>
      <c r="G3" s="186"/>
      <c r="H3" s="186"/>
      <c r="I3" s="644"/>
    </row>
    <row r="4" spans="1:9" ht="35.1" customHeight="1">
      <c r="A4" s="1055" t="s">
        <v>271</v>
      </c>
      <c r="B4" s="375"/>
      <c r="C4" s="375"/>
      <c r="D4" s="375"/>
      <c r="E4" s="375"/>
      <c r="F4" s="375"/>
      <c r="G4" s="181"/>
      <c r="H4" s="181"/>
      <c r="I4" s="1056"/>
    </row>
    <row r="5" spans="1:9" s="1047" customFormat="1" ht="30" customHeight="1">
      <c r="A5" s="1057" t="s">
        <v>401</v>
      </c>
      <c r="B5" s="375"/>
      <c r="C5" s="375"/>
      <c r="D5" s="375"/>
      <c r="E5" s="375"/>
      <c r="F5" s="375"/>
      <c r="G5" s="181"/>
      <c r="H5" s="181"/>
      <c r="I5" s="1056"/>
    </row>
    <row r="6" spans="1:9" s="1017" customFormat="1" ht="30" customHeight="1">
      <c r="A6" s="1055" t="s">
        <v>272</v>
      </c>
      <c r="B6" s="250"/>
      <c r="C6" s="250"/>
      <c r="D6" s="250"/>
      <c r="E6" s="250"/>
      <c r="F6" s="250"/>
      <c r="G6" s="250"/>
      <c r="H6" s="250"/>
      <c r="I6" s="1056"/>
    </row>
    <row r="7" spans="1:9" s="1017" customFormat="1" ht="30" customHeight="1">
      <c r="A7" s="1055" t="s">
        <v>136</v>
      </c>
      <c r="B7" s="250"/>
      <c r="C7" s="250"/>
      <c r="D7" s="250"/>
      <c r="E7" s="250"/>
      <c r="F7" s="250"/>
      <c r="G7" s="250"/>
      <c r="H7" s="250"/>
      <c r="I7" s="1056"/>
    </row>
    <row r="8" spans="1:9" s="1017" customFormat="1" ht="15" customHeight="1" thickBot="1">
      <c r="A8" s="1058"/>
      <c r="B8" s="376"/>
      <c r="C8" s="376"/>
      <c r="D8" s="376"/>
      <c r="E8" s="376"/>
      <c r="F8" s="376"/>
      <c r="G8" s="376"/>
      <c r="H8" s="376"/>
      <c r="I8" s="1056"/>
    </row>
    <row r="9" spans="1:9" ht="159.94999999999999" customHeight="1">
      <c r="A9" s="1302" t="s">
        <v>197</v>
      </c>
      <c r="B9" s="388" t="s">
        <v>294</v>
      </c>
      <c r="C9" s="388" t="s">
        <v>137</v>
      </c>
      <c r="D9" s="388" t="s">
        <v>93</v>
      </c>
      <c r="E9" s="388" t="s">
        <v>273</v>
      </c>
      <c r="F9" s="1300" t="s">
        <v>138</v>
      </c>
      <c r="G9" s="1304"/>
      <c r="H9" s="219" t="s">
        <v>196</v>
      </c>
      <c r="I9" s="1056"/>
    </row>
    <row r="10" spans="1:9" ht="35.1" customHeight="1">
      <c r="A10" s="1303"/>
      <c r="B10" s="394" t="s">
        <v>32</v>
      </c>
      <c r="C10" s="394" t="s">
        <v>32</v>
      </c>
      <c r="D10" s="394" t="s">
        <v>32</v>
      </c>
      <c r="E10" s="394" t="s">
        <v>32</v>
      </c>
      <c r="F10" s="394" t="s">
        <v>32</v>
      </c>
      <c r="G10" s="32" t="s">
        <v>139</v>
      </c>
      <c r="H10" s="1048"/>
      <c r="I10" s="1056"/>
    </row>
    <row r="11" spans="1:9" ht="30" customHeight="1">
      <c r="A11" s="1303"/>
      <c r="B11" s="367" t="s">
        <v>83</v>
      </c>
      <c r="C11" s="254" t="s">
        <v>83</v>
      </c>
      <c r="D11" s="254" t="s">
        <v>83</v>
      </c>
      <c r="E11" s="254" t="s">
        <v>83</v>
      </c>
      <c r="F11" s="254" t="s">
        <v>82</v>
      </c>
      <c r="G11" s="254" t="s">
        <v>82</v>
      </c>
      <c r="H11" s="368" t="s">
        <v>82</v>
      </c>
      <c r="I11" s="1056"/>
    </row>
    <row r="12" spans="1:9" ht="30" customHeight="1">
      <c r="A12" s="1059"/>
      <c r="B12" s="392" t="s">
        <v>4</v>
      </c>
      <c r="C12" s="392" t="s">
        <v>5</v>
      </c>
      <c r="D12" s="392" t="s">
        <v>6</v>
      </c>
      <c r="E12" s="392" t="s">
        <v>7</v>
      </c>
      <c r="F12" s="392" t="s">
        <v>8</v>
      </c>
      <c r="G12" s="392" t="s">
        <v>9</v>
      </c>
      <c r="H12" s="393" t="s">
        <v>61</v>
      </c>
      <c r="I12" s="1056"/>
    </row>
    <row r="13" spans="1:9" ht="35.1" customHeight="1">
      <c r="A13" s="1060" t="s">
        <v>128</v>
      </c>
      <c r="B13" s="389"/>
      <c r="C13" s="390"/>
      <c r="D13" s="391"/>
      <c r="E13" s="391"/>
      <c r="F13" s="389"/>
      <c r="G13" s="391"/>
      <c r="H13" s="182"/>
      <c r="I13" s="1056"/>
    </row>
    <row r="14" spans="1:9" ht="24.95" customHeight="1">
      <c r="A14" s="1061" t="s">
        <v>50</v>
      </c>
      <c r="B14" s="385">
        <f>VLOOKUP(Background!$C$2,Inst_FPs,4,FALSE)</f>
        <v>658</v>
      </c>
      <c r="C14" s="541">
        <f>VLOOKUP(Background!$C$2,Inst_FPs,38,FALSE)</f>
        <v>81</v>
      </c>
      <c r="D14" s="385">
        <f>SUM(B14:C14)</f>
        <v>739</v>
      </c>
      <c r="E14" s="385">
        <f>'Table 1'!$P28</f>
        <v>753</v>
      </c>
      <c r="F14" s="542">
        <f>E14-D14</f>
        <v>14</v>
      </c>
      <c r="G14" s="543">
        <f>IF(D14&gt;0,F14/D14,"")</f>
        <v>1.8944519621109608E-2</v>
      </c>
      <c r="H14" s="545" t="str">
        <f>IF(G14&lt;-Controlled_Tol,"YES","NO")</f>
        <v>NO</v>
      </c>
      <c r="I14" s="1056"/>
    </row>
    <row r="15" spans="1:9" ht="24.95" customHeight="1">
      <c r="A15" s="1061" t="s">
        <v>51</v>
      </c>
      <c r="B15" s="385">
        <f>VLOOKUP(Background!$C$2,Inst_FPs,5,FALSE)</f>
        <v>283.3</v>
      </c>
      <c r="C15" s="541">
        <f>VLOOKUP(Background!$C$2,Inst_FPs,39,FALSE)</f>
        <v>32</v>
      </c>
      <c r="D15" s="385">
        <f>SUM(B15:C15)</f>
        <v>315.3</v>
      </c>
      <c r="E15" s="385">
        <f>'Table 1'!$P29</f>
        <v>330</v>
      </c>
      <c r="F15" s="542">
        <f>E15-D15</f>
        <v>14.699999999999989</v>
      </c>
      <c r="G15" s="543">
        <f>IF(D15&gt;0,F15/D15,"")</f>
        <v>4.6622264509990449E-2</v>
      </c>
      <c r="H15" s="545" t="str">
        <f>IF(G15&lt;-Controlled_Tol,"YES","NO")</f>
        <v>NO</v>
      </c>
      <c r="I15" s="1056"/>
    </row>
    <row r="16" spans="1:9" ht="24.95" customHeight="1">
      <c r="A16" s="1061" t="s">
        <v>19</v>
      </c>
      <c r="B16" s="385">
        <f>VLOOKUP(Background!$C$2,Inst_FPs,6,FALSE)</f>
        <v>290</v>
      </c>
      <c r="C16" s="541">
        <v>0</v>
      </c>
      <c r="D16" s="385">
        <f>SUM(B16:C16)</f>
        <v>290</v>
      </c>
      <c r="E16" s="385">
        <f>'Table 1'!$P30</f>
        <v>323</v>
      </c>
      <c r="F16" s="542">
        <f>E16-D16</f>
        <v>33</v>
      </c>
      <c r="G16" s="543">
        <f>IF(D16&gt;0,F16/D16,"")</f>
        <v>0.11379310344827587</v>
      </c>
      <c r="H16" s="545" t="str">
        <f>IF(G16&lt;-Controlled_Tol,"YES","NO")</f>
        <v>NO</v>
      </c>
      <c r="I16" s="1056"/>
    </row>
    <row r="17" spans="1:9" ht="24.95" customHeight="1">
      <c r="A17" s="1062" t="s">
        <v>20</v>
      </c>
      <c r="B17" s="385">
        <f>VLOOKUP(Background!$C$2,Inst_FPs,7,FALSE)</f>
        <v>61.1</v>
      </c>
      <c r="C17" s="541">
        <v>0</v>
      </c>
      <c r="D17" s="386">
        <f>SUM(B17:C17)</f>
        <v>61.1</v>
      </c>
      <c r="E17" s="385">
        <f>'Table 1'!$P31</f>
        <v>65</v>
      </c>
      <c r="F17" s="544">
        <f>E17-D17</f>
        <v>3.8999999999999986</v>
      </c>
      <c r="G17" s="543">
        <f>IF(D17&gt;0,F17/D17,"")</f>
        <v>6.3829787234042534E-2</v>
      </c>
      <c r="H17" s="545" t="str">
        <f>IF(G17&lt;-Controlled_Tol,"YES","NO")</f>
        <v>NO</v>
      </c>
      <c r="I17" s="1056"/>
    </row>
    <row r="18" spans="1:9" ht="35.1" customHeight="1">
      <c r="A18" s="1063" t="s">
        <v>21</v>
      </c>
      <c r="B18" s="384"/>
      <c r="C18" s="381"/>
      <c r="D18" s="379"/>
      <c r="E18" s="379"/>
      <c r="F18" s="382"/>
      <c r="G18" s="380"/>
      <c r="H18" s="182"/>
      <c r="I18" s="1056"/>
    </row>
    <row r="19" spans="1:9" ht="24.95" customHeight="1">
      <c r="A19" s="1061" t="s">
        <v>134</v>
      </c>
      <c r="B19" s="385">
        <f>VLOOKUP(Background!$C$2,Inst_FPs,8,FALSE)</f>
        <v>469.2</v>
      </c>
      <c r="C19" s="541">
        <v>0</v>
      </c>
      <c r="D19" s="385">
        <f t="shared" ref="D19:D24" si="0">SUM(B19:C19)</f>
        <v>469.2</v>
      </c>
      <c r="E19" s="385">
        <f>'Table 1'!$P33</f>
        <v>590.4</v>
      </c>
      <c r="F19" s="542">
        <f t="shared" ref="F19:F24" si="1">E19-D19</f>
        <v>121.19999999999999</v>
      </c>
      <c r="G19" s="543">
        <f t="shared" ref="G19:G24" si="2">IF(D19&gt;0,F19/D19,"")</f>
        <v>0.25831202046035806</v>
      </c>
      <c r="H19" s="545" t="str">
        <f t="shared" ref="H19:H24" si="3">IF(G19&lt;-Controlled_Tol,"YES","NO")</f>
        <v>NO</v>
      </c>
      <c r="I19" s="1056"/>
    </row>
    <row r="20" spans="1:9" ht="24.95" customHeight="1">
      <c r="A20" s="1061" t="s">
        <v>35</v>
      </c>
      <c r="B20" s="385">
        <f>VLOOKUP(Background!$C$2,Inst_FPs,9,FALSE)</f>
        <v>0</v>
      </c>
      <c r="C20" s="541">
        <v>0</v>
      </c>
      <c r="D20" s="385">
        <f t="shared" si="0"/>
        <v>0</v>
      </c>
      <c r="E20" s="385">
        <f>'Table 1'!$P34</f>
        <v>0</v>
      </c>
      <c r="F20" s="542">
        <f t="shared" si="1"/>
        <v>0</v>
      </c>
      <c r="G20" s="543" t="str">
        <f t="shared" si="2"/>
        <v/>
      </c>
      <c r="H20" s="545" t="str">
        <f t="shared" si="3"/>
        <v>NO</v>
      </c>
      <c r="I20" s="1056"/>
    </row>
    <row r="21" spans="1:9" ht="24.95" customHeight="1">
      <c r="A21" s="1061" t="s">
        <v>22</v>
      </c>
      <c r="B21" s="385">
        <f>VLOOKUP(Background!$C$2,Inst_FPs,10,FALSE)</f>
        <v>0</v>
      </c>
      <c r="C21" s="541">
        <v>0</v>
      </c>
      <c r="D21" s="385">
        <f t="shared" si="0"/>
        <v>0</v>
      </c>
      <c r="E21" s="385">
        <f>'Table 1'!$P35</f>
        <v>0</v>
      </c>
      <c r="F21" s="542">
        <f t="shared" si="1"/>
        <v>0</v>
      </c>
      <c r="G21" s="543" t="str">
        <f t="shared" si="2"/>
        <v/>
      </c>
      <c r="H21" s="545" t="str">
        <f t="shared" si="3"/>
        <v>NO</v>
      </c>
      <c r="I21" s="1056"/>
    </row>
    <row r="22" spans="1:9" ht="24.95" customHeight="1">
      <c r="A22" s="1061" t="s">
        <v>37</v>
      </c>
      <c r="B22" s="385">
        <f>VLOOKUP(Background!$C$2,Inst_FPs,11,FALSE)</f>
        <v>113</v>
      </c>
      <c r="C22" s="541">
        <v>0</v>
      </c>
      <c r="D22" s="385">
        <f t="shared" si="0"/>
        <v>113</v>
      </c>
      <c r="E22" s="385">
        <f>'Table 1'!$P36</f>
        <v>108.6</v>
      </c>
      <c r="F22" s="542">
        <f t="shared" si="1"/>
        <v>-4.4000000000000057</v>
      </c>
      <c r="G22" s="543">
        <f t="shared" si="2"/>
        <v>-3.8938053097345181E-2</v>
      </c>
      <c r="H22" s="545" t="str">
        <f t="shared" si="3"/>
        <v>YES</v>
      </c>
      <c r="I22" s="1056"/>
    </row>
    <row r="23" spans="1:9" ht="24.95" customHeight="1">
      <c r="A23" s="1061" t="s">
        <v>157</v>
      </c>
      <c r="B23" s="385">
        <f>VLOOKUP(Background!$C$2,Inst_FPs,12,FALSE)</f>
        <v>67.400000000000006</v>
      </c>
      <c r="C23" s="541">
        <f>VLOOKUP(Background!$C$2,Inst_FPs,40,FALSE)</f>
        <v>104</v>
      </c>
      <c r="D23" s="385">
        <f t="shared" si="0"/>
        <v>171.4</v>
      </c>
      <c r="E23" s="385">
        <f>'Table 1'!$P21</f>
        <v>167</v>
      </c>
      <c r="F23" s="542">
        <f t="shared" si="1"/>
        <v>-4.4000000000000057</v>
      </c>
      <c r="G23" s="543">
        <f t="shared" si="2"/>
        <v>-2.5670945157526288E-2</v>
      </c>
      <c r="H23" s="545" t="str">
        <f t="shared" si="3"/>
        <v>NO</v>
      </c>
      <c r="I23" s="1056"/>
    </row>
    <row r="24" spans="1:9" ht="24.95" customHeight="1">
      <c r="A24" s="1062" t="s">
        <v>158</v>
      </c>
      <c r="B24" s="385">
        <f>VLOOKUP(Background!$C$2,Inst_FPs,13,FALSE)</f>
        <v>115.6</v>
      </c>
      <c r="C24" s="541">
        <f>VLOOKUP(Background!$C$2,Inst_FPs,41,FALSE)</f>
        <v>13</v>
      </c>
      <c r="D24" s="386">
        <f t="shared" si="0"/>
        <v>128.6</v>
      </c>
      <c r="E24" s="385">
        <f>'Table 1'!$P22</f>
        <v>148</v>
      </c>
      <c r="F24" s="544">
        <f t="shared" si="1"/>
        <v>19.400000000000006</v>
      </c>
      <c r="G24" s="543">
        <f t="shared" si="2"/>
        <v>0.15085536547433909</v>
      </c>
      <c r="H24" s="545" t="str">
        <f t="shared" si="3"/>
        <v>NO</v>
      </c>
      <c r="I24" s="1056"/>
    </row>
    <row r="25" spans="1:9" ht="35.1" customHeight="1">
      <c r="A25" s="1063" t="s">
        <v>123</v>
      </c>
      <c r="B25" s="384"/>
      <c r="C25" s="383"/>
      <c r="D25" s="379"/>
      <c r="E25" s="379"/>
      <c r="F25" s="382"/>
      <c r="G25" s="380"/>
      <c r="H25" s="182"/>
      <c r="I25" s="1056"/>
    </row>
    <row r="26" spans="1:9" ht="30" customHeight="1" thickBot="1">
      <c r="A26" s="1064" t="s">
        <v>254</v>
      </c>
      <c r="B26" s="387">
        <v>0</v>
      </c>
      <c r="C26" s="546">
        <f>VLOOKUP(Background!$C$2,Inst_FPs,42,FALSE)</f>
        <v>0</v>
      </c>
      <c r="D26" s="387">
        <f>SUM(B26:C26)</f>
        <v>0</v>
      </c>
      <c r="E26" s="387">
        <f>'Table 1'!$P16+'Table 1'!$P37</f>
        <v>0</v>
      </c>
      <c r="F26" s="547">
        <f>E26-D26</f>
        <v>0</v>
      </c>
      <c r="G26" s="548" t="str">
        <f>IF(D26&gt;0,F26/D26,"")</f>
        <v/>
      </c>
      <c r="H26" s="549" t="str">
        <f>IF(G26&lt;-Controlled_Tol,"YES","NO")</f>
        <v>NO</v>
      </c>
      <c r="I26" s="1056"/>
    </row>
    <row r="27" spans="1:9" ht="30" customHeight="1">
      <c r="A27" s="1065" t="s">
        <v>403</v>
      </c>
      <c r="B27" s="186"/>
      <c r="C27" s="187"/>
      <c r="D27" s="187"/>
      <c r="E27" s="187"/>
      <c r="F27" s="187"/>
      <c r="G27" s="186"/>
      <c r="H27" s="181"/>
      <c r="I27" s="1056"/>
    </row>
    <row r="28" spans="1:9" ht="20.100000000000001" customHeight="1">
      <c r="A28" s="1065"/>
      <c r="B28" s="186"/>
      <c r="C28" s="187"/>
      <c r="D28" s="187"/>
      <c r="E28" s="187"/>
      <c r="F28" s="187"/>
      <c r="G28" s="186"/>
      <c r="H28" s="181"/>
      <c r="I28" s="1056"/>
    </row>
    <row r="29" spans="1:9" ht="24.95" customHeight="1">
      <c r="A29" s="1055" t="s">
        <v>274</v>
      </c>
      <c r="B29" s="250"/>
      <c r="C29" s="250"/>
      <c r="D29" s="250"/>
      <c r="E29" s="250"/>
      <c r="F29" s="250"/>
      <c r="G29" s="250"/>
      <c r="H29" s="181"/>
      <c r="I29" s="1056"/>
    </row>
    <row r="30" spans="1:9" ht="24.95" customHeight="1">
      <c r="A30" s="1055" t="s">
        <v>136</v>
      </c>
      <c r="B30" s="250"/>
      <c r="C30" s="250"/>
      <c r="D30" s="250"/>
      <c r="E30" s="250"/>
      <c r="F30" s="250"/>
      <c r="G30" s="250"/>
      <c r="H30" s="181"/>
      <c r="I30" s="1056"/>
    </row>
    <row r="31" spans="1:9" ht="9.9499999999999993" customHeight="1" thickBot="1">
      <c r="A31" s="1058"/>
      <c r="B31" s="376"/>
      <c r="C31" s="376"/>
      <c r="D31" s="376"/>
      <c r="E31" s="376"/>
      <c r="F31" s="376"/>
      <c r="G31" s="250"/>
      <c r="H31" s="181"/>
      <c r="I31" s="1056"/>
    </row>
    <row r="32" spans="1:9" ht="159.94999999999999" customHeight="1">
      <c r="A32" s="1302" t="s">
        <v>198</v>
      </c>
      <c r="B32" s="388" t="s">
        <v>354</v>
      </c>
      <c r="C32" s="388" t="s">
        <v>355</v>
      </c>
      <c r="D32" s="1300" t="s">
        <v>138</v>
      </c>
      <c r="E32" s="1304"/>
      <c r="F32" s="219" t="s">
        <v>196</v>
      </c>
      <c r="G32" s="397"/>
      <c r="H32" s="181"/>
      <c r="I32" s="1056"/>
    </row>
    <row r="33" spans="1:9" ht="35.1" customHeight="1">
      <c r="A33" s="1303"/>
      <c r="B33" s="394" t="s">
        <v>32</v>
      </c>
      <c r="C33" s="394" t="s">
        <v>32</v>
      </c>
      <c r="D33" s="394" t="s">
        <v>32</v>
      </c>
      <c r="E33" s="32" t="s">
        <v>139</v>
      </c>
      <c r="F33" s="26"/>
      <c r="G33" s="186"/>
      <c r="H33" s="181"/>
      <c r="I33" s="1056"/>
    </row>
    <row r="34" spans="1:9" ht="30" customHeight="1">
      <c r="A34" s="1066"/>
      <c r="B34" s="367" t="s">
        <v>83</v>
      </c>
      <c r="C34" s="254" t="s">
        <v>83</v>
      </c>
      <c r="D34" s="254" t="s">
        <v>82</v>
      </c>
      <c r="E34" s="254" t="s">
        <v>82</v>
      </c>
      <c r="F34" s="368" t="s">
        <v>82</v>
      </c>
      <c r="G34" s="186"/>
      <c r="H34" s="181"/>
      <c r="I34" s="1056"/>
    </row>
    <row r="35" spans="1:9" ht="30" customHeight="1">
      <c r="A35" s="1066"/>
      <c r="B35" s="392" t="s">
        <v>4</v>
      </c>
      <c r="C35" s="392" t="s">
        <v>5</v>
      </c>
      <c r="D35" s="392" t="s">
        <v>6</v>
      </c>
      <c r="E35" s="392" t="s">
        <v>7</v>
      </c>
      <c r="F35" s="393" t="s">
        <v>8</v>
      </c>
      <c r="G35" s="186"/>
      <c r="H35" s="181"/>
      <c r="I35" s="1056"/>
    </row>
    <row r="36" spans="1:9" ht="50.1" customHeight="1" thickBot="1">
      <c r="A36" s="1067" t="s">
        <v>199</v>
      </c>
      <c r="B36" s="387">
        <f>VLOOKUP(Background!$C$2,Inst_FPs,32,FALSE)-VLOOKUP(Background!$C$2,Inst_FPs,14,FALSE)-VLOOKUP(Background!$C$2,Inst_FPs,37,FALSE)</f>
        <v>12053.6</v>
      </c>
      <c r="C36" s="387">
        <f>SUM('Table 1'!$P$17,'Table 1'!$P$23,'Table 1'!$P$39,'Table 1'!$P$40)-'Table 5'!B134</f>
        <v>13117.555</v>
      </c>
      <c r="D36" s="459">
        <f>C36-B36</f>
        <v>1063.9549999999999</v>
      </c>
      <c r="E36" s="188">
        <f>IF(B36&gt;0,D36/B36,"")</f>
        <v>8.8268650029866585E-2</v>
      </c>
      <c r="F36" s="549" t="str">
        <f>IF(E36&lt;-Non_controlled_Tol,"YES","NO")</f>
        <v>NO</v>
      </c>
      <c r="G36" s="186"/>
      <c r="H36" s="181"/>
      <c r="I36" s="1056"/>
    </row>
    <row r="37" spans="1:9" ht="30" customHeight="1">
      <c r="A37" s="1068" t="s">
        <v>357</v>
      </c>
      <c r="B37" s="2"/>
      <c r="C37" s="187"/>
      <c r="D37" s="187"/>
      <c r="E37" s="187"/>
      <c r="F37" s="187"/>
      <c r="G37" s="187"/>
      <c r="H37" s="181"/>
      <c r="I37" s="1056"/>
    </row>
    <row r="38" spans="1:9" ht="20.100000000000001" customHeight="1">
      <c r="A38" s="1068" t="s">
        <v>358</v>
      </c>
      <c r="B38" s="2"/>
      <c r="C38" s="187"/>
      <c r="D38" s="187"/>
      <c r="E38" s="187"/>
      <c r="F38" s="187"/>
      <c r="G38" s="187"/>
      <c r="H38" s="181"/>
      <c r="I38" s="1056"/>
    </row>
    <row r="39" spans="1:9" ht="24.95" customHeight="1">
      <c r="A39" s="1068" t="s">
        <v>356</v>
      </c>
      <c r="B39" s="2"/>
      <c r="C39" s="187"/>
      <c r="D39" s="187"/>
      <c r="E39" s="187"/>
      <c r="F39" s="187"/>
      <c r="G39" s="187"/>
      <c r="H39" s="181"/>
      <c r="I39" s="1056"/>
    </row>
    <row r="40" spans="1:9" ht="24.95" customHeight="1">
      <c r="A40" s="1065" t="s">
        <v>404</v>
      </c>
      <c r="B40" s="2"/>
      <c r="C40" s="187"/>
      <c r="D40" s="187"/>
      <c r="E40" s="187"/>
      <c r="F40" s="187"/>
      <c r="G40" s="187"/>
      <c r="H40" s="181"/>
      <c r="I40" s="1056"/>
    </row>
    <row r="41" spans="1:9" ht="18.75">
      <c r="A41" s="1069"/>
      <c r="B41" s="187"/>
      <c r="C41" s="187"/>
      <c r="D41" s="187"/>
      <c r="E41" s="187"/>
      <c r="F41" s="187"/>
      <c r="G41" s="187"/>
      <c r="H41" s="181"/>
      <c r="I41" s="1056"/>
    </row>
    <row r="42" spans="1:9" ht="24.95" customHeight="1">
      <c r="A42" s="1055" t="s">
        <v>275</v>
      </c>
      <c r="B42" s="250"/>
      <c r="C42" s="250"/>
      <c r="D42" s="250"/>
      <c r="E42" s="251"/>
      <c r="F42" s="251"/>
      <c r="G42" s="251"/>
      <c r="H42" s="181"/>
      <c r="I42" s="1056"/>
    </row>
    <row r="43" spans="1:9" ht="9.9499999999999993" customHeight="1" thickBot="1">
      <c r="A43" s="1058"/>
      <c r="B43" s="376"/>
      <c r="C43" s="376"/>
      <c r="D43" s="376"/>
      <c r="E43" s="377"/>
      <c r="F43" s="377"/>
      <c r="G43" s="251"/>
      <c r="H43" s="181"/>
      <c r="I43" s="1056"/>
    </row>
    <row r="44" spans="1:9" ht="125.1" customHeight="1">
      <c r="A44" s="1070" t="s">
        <v>200</v>
      </c>
      <c r="B44" s="398" t="s">
        <v>276</v>
      </c>
      <c r="C44" s="388" t="s">
        <v>239</v>
      </c>
      <c r="D44" s="1300" t="s">
        <v>203</v>
      </c>
      <c r="E44" s="1301"/>
      <c r="F44" s="219" t="s">
        <v>202</v>
      </c>
      <c r="G44" s="397"/>
      <c r="H44" s="181"/>
      <c r="I44" s="1056"/>
    </row>
    <row r="45" spans="1:9" ht="35.1" customHeight="1">
      <c r="A45" s="1071"/>
      <c r="B45" s="1072" t="s">
        <v>32</v>
      </c>
      <c r="C45" s="394" t="s">
        <v>32</v>
      </c>
      <c r="D45" s="394" t="s">
        <v>32</v>
      </c>
      <c r="E45" s="394" t="s">
        <v>139</v>
      </c>
      <c r="F45" s="26"/>
      <c r="G45" s="186"/>
      <c r="H45" s="181"/>
      <c r="I45" s="1056"/>
    </row>
    <row r="46" spans="1:9" ht="30" customHeight="1">
      <c r="A46" s="1071"/>
      <c r="B46" s="1073" t="s">
        <v>83</v>
      </c>
      <c r="C46" s="367" t="s">
        <v>83</v>
      </c>
      <c r="D46" s="367" t="s">
        <v>82</v>
      </c>
      <c r="E46" s="367" t="s">
        <v>82</v>
      </c>
      <c r="F46" s="368" t="s">
        <v>82</v>
      </c>
      <c r="G46" s="186"/>
      <c r="H46" s="181"/>
      <c r="I46" s="1056"/>
    </row>
    <row r="47" spans="1:9" ht="30" customHeight="1">
      <c r="A47" s="1074"/>
      <c r="B47" s="392" t="s">
        <v>4</v>
      </c>
      <c r="C47" s="392" t="s">
        <v>5</v>
      </c>
      <c r="D47" s="392" t="s">
        <v>6</v>
      </c>
      <c r="E47" s="392" t="s">
        <v>7</v>
      </c>
      <c r="F47" s="393" t="s">
        <v>8</v>
      </c>
      <c r="G47" s="186"/>
      <c r="H47" s="181"/>
      <c r="I47" s="1056"/>
    </row>
    <row r="48" spans="1:9" ht="35.1" customHeight="1">
      <c r="A48" s="1075" t="s">
        <v>122</v>
      </c>
      <c r="B48" s="408"/>
      <c r="C48" s="399"/>
      <c r="D48" s="399"/>
      <c r="E48" s="400"/>
      <c r="F48" s="368"/>
      <c r="G48" s="186"/>
      <c r="H48" s="181"/>
      <c r="I48" s="1056"/>
    </row>
    <row r="49" spans="1:9" ht="35.1" customHeight="1">
      <c r="A49" s="1076" t="s">
        <v>236</v>
      </c>
      <c r="B49" s="186"/>
      <c r="C49" s="378"/>
      <c r="D49" s="378"/>
      <c r="E49" s="189"/>
      <c r="F49" s="190"/>
      <c r="G49" s="186"/>
      <c r="H49" s="181"/>
      <c r="I49" s="1056"/>
    </row>
    <row r="50" spans="1:9" ht="30" customHeight="1">
      <c r="A50" s="1077" t="s">
        <v>235</v>
      </c>
      <c r="B50" s="457">
        <f>VLOOKUP(Background!$C$2,Inst_FPs,45,FALSE)</f>
        <v>1153</v>
      </c>
      <c r="C50" s="457">
        <f>SUM('Table 1'!$W$28,'Table 1'!$W$30)</f>
        <v>1191</v>
      </c>
      <c r="D50" s="457">
        <f>C50-B50</f>
        <v>38</v>
      </c>
      <c r="E50" s="415">
        <f>IF(B50&gt;0,D50/B50,"")</f>
        <v>3.2957502168256721E-2</v>
      </c>
      <c r="F50" s="416" t="str">
        <f>IF(B50&gt;=100,IF(E50&gt;Consol_Tol_Per,"Yes","No"),IF(B50&gt;0,IF(D50&gt;Consol_Tol_FTE,"Yes","No"),"No"))</f>
        <v>No</v>
      </c>
      <c r="G50" s="186"/>
      <c r="H50" s="181"/>
      <c r="I50" s="1056"/>
    </row>
    <row r="51" spans="1:9" ht="35.1" customHeight="1">
      <c r="A51" s="1076" t="s">
        <v>402</v>
      </c>
      <c r="B51" s="456"/>
      <c r="C51" s="401"/>
      <c r="D51" s="401"/>
      <c r="E51" s="401"/>
      <c r="F51" s="402"/>
      <c r="G51" s="186"/>
      <c r="H51" s="181"/>
      <c r="I51" s="1056"/>
    </row>
    <row r="52" spans="1:9" ht="30" customHeight="1">
      <c r="A52" s="1077" t="s">
        <v>235</v>
      </c>
      <c r="B52" s="457">
        <f>VLOOKUP(Background!$C$2,Inst_FPs,46,FALSE)</f>
        <v>402</v>
      </c>
      <c r="C52" s="457">
        <f>SUM('Table 1'!$W$29,'Table 1'!$W$31)</f>
        <v>421</v>
      </c>
      <c r="D52" s="457">
        <f>C52-B52</f>
        <v>19</v>
      </c>
      <c r="E52" s="415">
        <f>IF(B52&gt;0,D52/B52,"")</f>
        <v>4.7263681592039801E-2</v>
      </c>
      <c r="F52" s="416" t="str">
        <f>IF(B52&gt;=100,IF(E52&gt;Consol_Tol_Per,"Yes","No"),IF(B52&gt;0,IF(D52&gt;Consol_Tol_FTE,"Yes","No"),"No"))</f>
        <v>No</v>
      </c>
      <c r="G52" s="186"/>
      <c r="H52" s="181"/>
      <c r="I52" s="1056"/>
    </row>
    <row r="53" spans="1:9" ht="50.1" customHeight="1">
      <c r="A53" s="1078" t="s">
        <v>255</v>
      </c>
      <c r="B53" s="186"/>
      <c r="C53" s="403"/>
      <c r="D53" s="403"/>
      <c r="E53" s="403"/>
      <c r="F53" s="404"/>
      <c r="G53" s="186"/>
      <c r="H53" s="250"/>
      <c r="I53" s="1056"/>
    </row>
    <row r="54" spans="1:9" ht="30" customHeight="1">
      <c r="A54" s="1077" t="s">
        <v>33</v>
      </c>
      <c r="B54" s="386">
        <f>VLOOKUP(Background!$C$2,Inst_FPs,47,FALSE)</f>
        <v>649</v>
      </c>
      <c r="C54" s="457">
        <f>SUM('Table 1'!$W$21,'Table 1'!$W$33)</f>
        <v>768.4</v>
      </c>
      <c r="D54" s="457">
        <f>C54-B54</f>
        <v>119.39999999999998</v>
      </c>
      <c r="E54" s="415">
        <f>IF(B54&gt;0,D54/B54,"")</f>
        <v>0.18397534668721105</v>
      </c>
      <c r="F54" s="416" t="str">
        <f>IF(B54&gt;=100,IF(E54&gt;Consol_Tol_Per,"Yes","No"),IF(B54&gt;0,IF(D54&gt;Consol_Tol_FTE,"Yes","No"),"No"))</f>
        <v>Yes</v>
      </c>
      <c r="G54" s="186"/>
      <c r="H54" s="250"/>
      <c r="I54" s="1056"/>
    </row>
    <row r="55" spans="1:9" ht="30" customHeight="1">
      <c r="A55" s="1077" t="s">
        <v>34</v>
      </c>
      <c r="B55" s="386">
        <f>VLOOKUP(Background!$C$2,Inst_FPs,48,FALSE)</f>
        <v>253</v>
      </c>
      <c r="C55" s="457">
        <f>SUM('Table 1'!$W$22,'Table 1'!$W$34,'Table 1'!$W$35,'Table 1'!$W$36)</f>
        <v>260.60000000000002</v>
      </c>
      <c r="D55" s="457">
        <f>C55-B55</f>
        <v>7.6000000000000227</v>
      </c>
      <c r="E55" s="415">
        <f>IF(B55&gt;0,D55/B55,"")</f>
        <v>3.0039525691699695E-2</v>
      </c>
      <c r="F55" s="416" t="str">
        <f>IF(B55&gt;=100,IF(E55&gt;Consol_Tol_Per,"Yes","No"),IF(B55&gt;0,IF(D55&gt;Consol_Tol_FTE,"Yes","No"),"No"))</f>
        <v>No</v>
      </c>
      <c r="G55" s="186"/>
      <c r="H55" s="250"/>
      <c r="I55" s="1056"/>
    </row>
    <row r="56" spans="1:9" ht="35.1" customHeight="1">
      <c r="A56" s="1078" t="s">
        <v>237</v>
      </c>
      <c r="B56" s="407"/>
      <c r="C56" s="405"/>
      <c r="D56" s="405"/>
      <c r="E56" s="405"/>
      <c r="F56" s="406"/>
      <c r="G56" s="186"/>
      <c r="H56" s="250"/>
      <c r="I56" s="1056"/>
    </row>
    <row r="57" spans="1:9" ht="30" customHeight="1">
      <c r="A57" s="1079" t="s">
        <v>235</v>
      </c>
      <c r="B57" s="386">
        <f>VLOOKUP(Background!$C$2,Inst_FPs,49,FALSE)</f>
        <v>0</v>
      </c>
      <c r="C57" s="458">
        <f>'Table 1'!$P$37</f>
        <v>0</v>
      </c>
      <c r="D57" s="457">
        <f>C57-B57</f>
        <v>0</v>
      </c>
      <c r="E57" s="415" t="str">
        <f>IF(B57&gt;0,D57/B57,"")</f>
        <v/>
      </c>
      <c r="F57" s="416" t="str">
        <f>IF(B57&gt;=100,IF(E57&gt;Consol_Tol_Per,"Yes","No"),IF(B57&gt;0,IF(D57&gt;Consol_Tol_FTE,"Yes","No"),"No"))</f>
        <v>No</v>
      </c>
      <c r="G57" s="186"/>
      <c r="H57" s="250"/>
      <c r="I57" s="1056"/>
    </row>
    <row r="58" spans="1:9" ht="35.1" customHeight="1">
      <c r="A58" s="1080" t="s">
        <v>201</v>
      </c>
      <c r="B58" s="403"/>
      <c r="C58" s="403"/>
      <c r="D58" s="403"/>
      <c r="E58" s="403"/>
      <c r="F58" s="404"/>
      <c r="G58" s="186"/>
      <c r="H58" s="250"/>
      <c r="I58" s="1056"/>
    </row>
    <row r="59" spans="1:9" ht="30" customHeight="1" thickBot="1">
      <c r="A59" s="1081" t="s">
        <v>238</v>
      </c>
      <c r="B59" s="459">
        <f>VLOOKUP(Background!$C$2,Inst_FPs,50,FALSE)</f>
        <v>10604</v>
      </c>
      <c r="C59" s="459">
        <f>SUM('Table 1'!$I$39,'Table 1'!$I$40)</f>
        <v>11322.36</v>
      </c>
      <c r="D59" s="459">
        <f>C59-B59</f>
        <v>718.36000000000058</v>
      </c>
      <c r="E59" s="188">
        <f>IF(B59&gt;0,D59/B59,"")</f>
        <v>6.7744247453791082E-2</v>
      </c>
      <c r="F59" s="461" t="str">
        <f>IF(B59&gt;=100,IF(E59&gt;Consol_Tol_Per,"Yes","No"),IF(B59&gt;0,IF(D59&gt;Consol_Tol_FTE,"Yes","No"),"No"))</f>
        <v>No</v>
      </c>
      <c r="G59" s="186"/>
      <c r="H59" s="250"/>
      <c r="I59" s="1056"/>
    </row>
    <row r="60" spans="1:9" ht="30" customHeight="1">
      <c r="A60" s="1065" t="s">
        <v>405</v>
      </c>
      <c r="B60" s="250"/>
      <c r="C60" s="250"/>
      <c r="D60" s="250"/>
      <c r="E60" s="250"/>
      <c r="F60" s="250"/>
      <c r="G60" s="250"/>
      <c r="H60" s="250"/>
      <c r="I60" s="1056"/>
    </row>
    <row r="61" spans="1:9" ht="18.95" customHeight="1">
      <c r="A61" s="1082"/>
      <c r="B61" s="250"/>
      <c r="C61" s="250"/>
      <c r="D61" s="250"/>
      <c r="E61" s="250"/>
      <c r="F61" s="250"/>
      <c r="G61" s="250"/>
      <c r="H61" s="250"/>
      <c r="I61" s="1056"/>
    </row>
    <row r="62" spans="1:9" ht="18.95" customHeight="1">
      <c r="A62" s="1083"/>
      <c r="B62" s="1084"/>
      <c r="C62" s="1084"/>
      <c r="D62" s="1084"/>
      <c r="E62" s="1084"/>
      <c r="F62" s="1084"/>
      <c r="G62" s="1084"/>
      <c r="H62" s="1084"/>
      <c r="I62" s="1085"/>
    </row>
    <row r="63" spans="1:9" ht="24.95" hidden="1" customHeight="1">
      <c r="A63" s="396" t="s">
        <v>193</v>
      </c>
      <c r="B63" s="191"/>
      <c r="C63" s="191"/>
      <c r="D63" s="191"/>
      <c r="E63" s="191"/>
      <c r="F63" s="191"/>
      <c r="G63" s="183"/>
      <c r="H63" s="183"/>
      <c r="I63" s="183"/>
    </row>
    <row r="64" spans="1:9" ht="24.95" hidden="1" customHeight="1">
      <c r="A64" s="183" t="s">
        <v>194</v>
      </c>
      <c r="B64" s="395">
        <v>0.03</v>
      </c>
      <c r="C64" s="191"/>
      <c r="D64" s="191"/>
      <c r="E64" s="191"/>
      <c r="F64" s="191"/>
      <c r="G64" s="183"/>
      <c r="H64" s="183"/>
      <c r="I64" s="183"/>
    </row>
    <row r="65" spans="1:9" ht="24.95" hidden="1" customHeight="1">
      <c r="A65" s="183" t="s">
        <v>195</v>
      </c>
      <c r="B65" s="395">
        <v>0.02</v>
      </c>
      <c r="C65" s="191"/>
      <c r="D65" s="191"/>
      <c r="E65" s="191"/>
      <c r="F65" s="191"/>
      <c r="G65" s="183"/>
      <c r="H65" s="183"/>
      <c r="I65" s="183"/>
    </row>
    <row r="66" spans="1:9" ht="24.95" hidden="1" customHeight="1">
      <c r="A66" s="183" t="s">
        <v>240</v>
      </c>
      <c r="B66" s="395">
        <v>0.1</v>
      </c>
      <c r="C66" s="191"/>
      <c r="D66" s="191"/>
      <c r="E66" s="191"/>
      <c r="F66" s="191"/>
      <c r="G66" s="183"/>
      <c r="H66" s="183"/>
      <c r="I66" s="183"/>
    </row>
    <row r="67" spans="1:9" ht="24.95" hidden="1" customHeight="1">
      <c r="A67" s="183" t="s">
        <v>241</v>
      </c>
      <c r="B67" s="460">
        <v>10</v>
      </c>
      <c r="C67" s="191"/>
      <c r="D67" s="191"/>
      <c r="E67" s="191"/>
      <c r="F67" s="191"/>
      <c r="G67" s="183"/>
      <c r="H67" s="183"/>
      <c r="I67" s="183"/>
    </row>
  </sheetData>
  <sheetProtection password="E23E" sheet="1" objects="1" scenarios="1"/>
  <mergeCells count="6">
    <mergeCell ref="D44:E44"/>
    <mergeCell ref="B3:E3"/>
    <mergeCell ref="A9:A11"/>
    <mergeCell ref="F9:G9"/>
    <mergeCell ref="A32:A33"/>
    <mergeCell ref="D32:E32"/>
  </mergeCells>
  <conditionalFormatting sqref="F48:F50">
    <cfRule type="cellIs" dxfId="5" priority="14" operator="equal">
      <formula>"YES"</formula>
    </cfRule>
  </conditionalFormatting>
  <conditionalFormatting sqref="F48:F50 H14:H17 H19:H24 H26">
    <cfRule type="cellIs" dxfId="4" priority="12" operator="equal">
      <formula>"YES"</formula>
    </cfRule>
  </conditionalFormatting>
  <conditionalFormatting sqref="F36">
    <cfRule type="cellIs" dxfId="3" priority="10" operator="equal">
      <formula>"YES"</formula>
    </cfRule>
  </conditionalFormatting>
  <conditionalFormatting sqref="F59 F57 F54:F55 F52">
    <cfRule type="cellIs" dxfId="2" priority="7" operator="equal">
      <formula>"YES"</formula>
    </cfRule>
  </conditionalFormatting>
  <conditionalFormatting sqref="F59 F57 F54:F55 F52">
    <cfRule type="cellIs" dxfId="1" priority="6" operator="equal">
      <formula>"YES"</formula>
    </cfRule>
  </conditionalFormatting>
  <conditionalFormatting sqref="A1:A2">
    <cfRule type="expression" dxfId="0" priority="1" stopIfTrue="1">
      <formula>#REF!=0</formula>
    </cfRule>
  </conditionalFormatting>
  <dataValidations count="1">
    <dataValidation allowBlank="1" sqref="F46:F47 B44:D46 A44 J6:FI8 H9 J4:FL5 J27:FL28 A9 F32 I9:FJ26 H11:H26 H27:I52 G4:H5 B33:B35 F34:F36 A32:D32 A36:B36 C33:E36 F44 C47:E47 D57:F57 E45:E46 A48:A49 B47:B48 A50:B50 B52 B54:B57 B59:F59 C54:F55 C48:F52 I4:I8 B3 A37:G41 G10:G28 A13:A28 B9:F28 A51:A62 I53:I62"/>
  </dataValidations>
  <printOptions horizontalCentered="1"/>
  <pageMargins left="0.15748031496062992" right="0.15748031496062992" top="0.15748031496062992" bottom="0.15748031496062992" header="0.15748031496062992" footer="0.15748031496062992"/>
  <pageSetup paperSize="9" scale="52" fitToHeight="2" orientation="portrait" r:id="rId1"/>
  <headerFooter alignWithMargins="0"/>
  <rowBreaks count="1" manualBreakCount="1"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4"/>
  <sheetViews>
    <sheetView zoomScale="70" zoomScaleNormal="70" workbookViewId="0"/>
  </sheetViews>
  <sheetFormatPr defaultRowHeight="15.75"/>
  <cols>
    <col min="1" max="1" width="6.7109375" style="194" customWidth="1"/>
    <col min="2" max="2" width="45.7109375" style="194" customWidth="1"/>
    <col min="3" max="3" width="14.42578125" style="194" customWidth="1"/>
    <col min="4" max="14" width="12.7109375" style="194" customWidth="1"/>
    <col min="15" max="15" width="14" style="194" bestFit="1" customWidth="1"/>
    <col min="16" max="19" width="14" style="194" customWidth="1"/>
    <col min="20" max="53" width="12.7109375" style="194" customWidth="1"/>
    <col min="54" max="54" width="13.7109375" style="194" customWidth="1"/>
    <col min="55" max="59" width="12.7109375" style="194" customWidth="1"/>
    <col min="60" max="16384" width="9.140625" style="194"/>
  </cols>
  <sheetData>
    <row r="1" spans="1:57" ht="16.5" thickBot="1"/>
    <row r="2" spans="1:57" ht="30" customHeight="1" thickBot="1">
      <c r="A2" s="234" t="s">
        <v>175</v>
      </c>
      <c r="C2" s="318">
        <v>8</v>
      </c>
      <c r="D2" s="317" t="str">
        <f>VLOOKUP(C2,Inst_Tables,2,FALSE)</f>
        <v>Glasgow, University of</v>
      </c>
    </row>
    <row r="3" spans="1:57" ht="18" customHeight="1"/>
    <row r="4" spans="1:57" ht="20.100000000000001" customHeight="1">
      <c r="A4" s="421" t="s">
        <v>207</v>
      </c>
    </row>
    <row r="6" spans="1:57">
      <c r="A6" s="371" t="s">
        <v>181</v>
      </c>
    </row>
    <row r="7" spans="1:57" ht="20.100000000000001" customHeight="1">
      <c r="A7" s="370">
        <v>1</v>
      </c>
      <c r="B7" s="370">
        <v>2</v>
      </c>
      <c r="C7" s="370">
        <v>3</v>
      </c>
      <c r="D7" s="370">
        <v>4</v>
      </c>
      <c r="E7" s="370">
        <v>5</v>
      </c>
      <c r="F7" s="370">
        <v>6</v>
      </c>
      <c r="G7" s="370">
        <v>7</v>
      </c>
      <c r="H7" s="370">
        <v>8</v>
      </c>
      <c r="I7" s="370">
        <v>9</v>
      </c>
      <c r="J7" s="370">
        <v>10</v>
      </c>
      <c r="K7" s="370">
        <v>11</v>
      </c>
      <c r="L7" s="370">
        <v>12</v>
      </c>
      <c r="M7" s="370">
        <v>13</v>
      </c>
      <c r="N7" s="370">
        <v>14</v>
      </c>
      <c r="O7" s="370">
        <v>15</v>
      </c>
      <c r="P7" s="370">
        <v>16</v>
      </c>
      <c r="Q7" s="370">
        <v>17</v>
      </c>
      <c r="R7" s="370">
        <v>18</v>
      </c>
      <c r="S7" s="370">
        <v>19</v>
      </c>
      <c r="T7" s="370">
        <v>20</v>
      </c>
      <c r="U7" s="370">
        <v>21</v>
      </c>
      <c r="V7" s="370">
        <v>22</v>
      </c>
      <c r="W7" s="370">
        <v>23</v>
      </c>
      <c r="X7" s="370">
        <v>24</v>
      </c>
      <c r="Y7" s="370">
        <v>25</v>
      </c>
      <c r="Z7" s="370">
        <v>26</v>
      </c>
      <c r="AA7" s="370">
        <v>27</v>
      </c>
      <c r="AB7" s="370">
        <v>28</v>
      </c>
      <c r="AC7" s="370">
        <v>29</v>
      </c>
      <c r="AD7" s="370">
        <v>30</v>
      </c>
      <c r="AE7" s="370">
        <v>31</v>
      </c>
      <c r="AF7" s="370">
        <v>32</v>
      </c>
      <c r="AG7" s="370">
        <v>33</v>
      </c>
      <c r="AH7" s="370">
        <v>34</v>
      </c>
      <c r="AI7" s="370">
        <v>35</v>
      </c>
      <c r="AJ7" s="370">
        <v>36</v>
      </c>
      <c r="AK7" s="370">
        <v>37</v>
      </c>
      <c r="AL7" s="370">
        <v>38</v>
      </c>
      <c r="AM7" s="370">
        <v>39</v>
      </c>
      <c r="AN7" s="370">
        <v>40</v>
      </c>
      <c r="AO7" s="370">
        <v>41</v>
      </c>
      <c r="AP7" s="370">
        <v>42</v>
      </c>
      <c r="AQ7" s="370">
        <v>43</v>
      </c>
      <c r="AR7" s="370">
        <v>44</v>
      </c>
      <c r="AS7" s="370">
        <v>45</v>
      </c>
      <c r="AT7" s="370">
        <v>46</v>
      </c>
      <c r="AU7" s="370">
        <v>47</v>
      </c>
      <c r="AV7" s="370">
        <v>48</v>
      </c>
      <c r="AW7" s="370">
        <v>49</v>
      </c>
      <c r="AX7" s="370">
        <v>50</v>
      </c>
      <c r="AY7" s="370">
        <v>51</v>
      </c>
      <c r="AZ7" s="370">
        <v>52</v>
      </c>
      <c r="BA7" s="370"/>
      <c r="BB7" s="370"/>
    </row>
    <row r="8" spans="1:57" ht="16.5" thickBot="1"/>
    <row r="9" spans="1:57" ht="30" customHeight="1">
      <c r="A9" s="221"/>
      <c r="B9" s="226"/>
      <c r="C9" s="1337" t="s">
        <v>160</v>
      </c>
      <c r="D9" s="1348"/>
      <c r="E9" s="1348"/>
      <c r="F9" s="1348"/>
      <c r="G9" s="1348"/>
      <c r="H9" s="1348"/>
      <c r="I9" s="1348"/>
      <c r="J9" s="1348"/>
      <c r="K9" s="1348"/>
      <c r="L9" s="1348"/>
      <c r="M9" s="1348"/>
      <c r="N9" s="1348"/>
      <c r="O9" s="1348"/>
      <c r="P9" s="1348"/>
      <c r="Q9" s="1348"/>
      <c r="R9" s="1348"/>
      <c r="S9" s="1348"/>
      <c r="T9" s="1348"/>
      <c r="U9" s="1348"/>
      <c r="V9" s="1348"/>
      <c r="W9" s="1348"/>
      <c r="X9" s="1348"/>
      <c r="Y9" s="1348"/>
      <c r="Z9" s="1348"/>
      <c r="AA9" s="1348"/>
      <c r="AB9" s="1348"/>
      <c r="AC9" s="1348"/>
      <c r="AD9" s="1348"/>
      <c r="AE9" s="1348"/>
      <c r="AF9" s="1348"/>
      <c r="AG9" s="1348"/>
      <c r="AH9" s="1348"/>
      <c r="AI9" s="1348"/>
      <c r="AJ9" s="1348"/>
      <c r="AK9" s="1349"/>
      <c r="AL9" s="1335" t="s">
        <v>161</v>
      </c>
      <c r="AM9" s="1335"/>
      <c r="AN9" s="1335"/>
      <c r="AO9" s="1335"/>
      <c r="AP9" s="1335"/>
      <c r="AQ9" s="1336"/>
      <c r="AR9" s="714" t="s">
        <v>2</v>
      </c>
      <c r="AS9" s="1337" t="s">
        <v>182</v>
      </c>
      <c r="AT9" s="1335"/>
      <c r="AU9" s="1335"/>
      <c r="AV9" s="1335"/>
      <c r="AW9" s="1335"/>
      <c r="AX9" s="1335"/>
      <c r="AY9" s="1335"/>
      <c r="AZ9" s="1338"/>
    </row>
    <row r="10" spans="1:57" ht="45" customHeight="1">
      <c r="A10" s="222"/>
      <c r="B10" s="227"/>
      <c r="C10" s="1355" t="s">
        <v>162</v>
      </c>
      <c r="D10" s="1352" t="s">
        <v>101</v>
      </c>
      <c r="E10" s="1353"/>
      <c r="F10" s="1353"/>
      <c r="G10" s="1353"/>
      <c r="H10" s="1353"/>
      <c r="I10" s="1353"/>
      <c r="J10" s="1353"/>
      <c r="K10" s="1353"/>
      <c r="L10" s="1353"/>
      <c r="M10" s="1353"/>
      <c r="N10" s="1354"/>
      <c r="O10" s="1327" t="s">
        <v>289</v>
      </c>
      <c r="P10" s="1319" t="s">
        <v>332</v>
      </c>
      <c r="Q10" s="1320"/>
      <c r="R10" s="1320"/>
      <c r="S10" s="1321"/>
      <c r="T10" s="1319" t="s">
        <v>293</v>
      </c>
      <c r="U10" s="1320"/>
      <c r="V10" s="1320"/>
      <c r="W10" s="1320"/>
      <c r="X10" s="1320"/>
      <c r="Y10" s="1320"/>
      <c r="Z10" s="1320"/>
      <c r="AA10" s="1320"/>
      <c r="AB10" s="1320"/>
      <c r="AC10" s="1320"/>
      <c r="AD10" s="1320"/>
      <c r="AE10" s="1321"/>
      <c r="AF10" s="1329" t="s">
        <v>164</v>
      </c>
      <c r="AG10" s="1319" t="s">
        <v>336</v>
      </c>
      <c r="AH10" s="1320"/>
      <c r="AI10" s="1320"/>
      <c r="AJ10" s="1321"/>
      <c r="AK10" s="1325" t="s">
        <v>346</v>
      </c>
      <c r="AL10" s="1346" t="s">
        <v>155</v>
      </c>
      <c r="AM10" s="1331" t="s">
        <v>156</v>
      </c>
      <c r="AN10" s="1331" t="s">
        <v>157</v>
      </c>
      <c r="AO10" s="1331" t="s">
        <v>158</v>
      </c>
      <c r="AP10" s="1331" t="s">
        <v>159</v>
      </c>
      <c r="AQ10" s="1344" t="s">
        <v>2</v>
      </c>
      <c r="AR10" s="196"/>
      <c r="AS10" s="1339" t="s">
        <v>183</v>
      </c>
      <c r="AT10" s="1340"/>
      <c r="AU10" s="1340"/>
      <c r="AV10" s="1340"/>
      <c r="AW10" s="1341"/>
      <c r="AX10" s="1342" t="s">
        <v>186</v>
      </c>
      <c r="AY10" s="1327" t="s">
        <v>246</v>
      </c>
      <c r="AZ10" s="1333" t="s">
        <v>247</v>
      </c>
    </row>
    <row r="11" spans="1:57" ht="159.94999999999999" customHeight="1">
      <c r="A11" s="233" t="s">
        <v>144</v>
      </c>
      <c r="B11" s="228"/>
      <c r="C11" s="1355"/>
      <c r="D11" s="791" t="s">
        <v>145</v>
      </c>
      <c r="E11" s="788" t="s">
        <v>146</v>
      </c>
      <c r="F11" s="197" t="s">
        <v>153</v>
      </c>
      <c r="G11" s="788" t="s">
        <v>154</v>
      </c>
      <c r="H11" s="791" t="s">
        <v>147</v>
      </c>
      <c r="I11" s="791" t="s">
        <v>148</v>
      </c>
      <c r="J11" s="791" t="s">
        <v>149</v>
      </c>
      <c r="K11" s="791" t="s">
        <v>150</v>
      </c>
      <c r="L11" s="791" t="s">
        <v>151</v>
      </c>
      <c r="M11" s="791" t="s">
        <v>152</v>
      </c>
      <c r="N11" s="788" t="s">
        <v>2</v>
      </c>
      <c r="O11" s="1328"/>
      <c r="P11" s="798" t="s">
        <v>333</v>
      </c>
      <c r="Q11" s="789" t="s">
        <v>257</v>
      </c>
      <c r="R11" s="793" t="s">
        <v>163</v>
      </c>
      <c r="S11" s="794" t="s">
        <v>281</v>
      </c>
      <c r="T11" s="197" t="s">
        <v>278</v>
      </c>
      <c r="U11" s="665" t="s">
        <v>279</v>
      </c>
      <c r="V11" s="665" t="s">
        <v>280</v>
      </c>
      <c r="W11" s="791" t="s">
        <v>163</v>
      </c>
      <c r="X11" s="666" t="s">
        <v>257</v>
      </c>
      <c r="Y11" s="666" t="s">
        <v>281</v>
      </c>
      <c r="Z11" s="791" t="s">
        <v>282</v>
      </c>
      <c r="AA11" s="791" t="s">
        <v>283</v>
      </c>
      <c r="AB11" s="791" t="s">
        <v>284</v>
      </c>
      <c r="AC11" s="791" t="s">
        <v>288</v>
      </c>
      <c r="AD11" s="791" t="s">
        <v>285</v>
      </c>
      <c r="AE11" s="790" t="s">
        <v>2</v>
      </c>
      <c r="AF11" s="1330"/>
      <c r="AG11" s="846" t="s">
        <v>333</v>
      </c>
      <c r="AH11" s="793" t="s">
        <v>257</v>
      </c>
      <c r="AI11" s="793" t="s">
        <v>163</v>
      </c>
      <c r="AJ11" s="792" t="s">
        <v>281</v>
      </c>
      <c r="AK11" s="1326"/>
      <c r="AL11" s="1347"/>
      <c r="AM11" s="1332"/>
      <c r="AN11" s="1332"/>
      <c r="AO11" s="1332"/>
      <c r="AP11" s="1332"/>
      <c r="AQ11" s="1345"/>
      <c r="AR11" s="196"/>
      <c r="AS11" s="409" t="s">
        <v>184</v>
      </c>
      <c r="AT11" s="669" t="s">
        <v>185</v>
      </c>
      <c r="AU11" s="668" t="s">
        <v>290</v>
      </c>
      <c r="AV11" s="668" t="s">
        <v>291</v>
      </c>
      <c r="AW11" s="669" t="s">
        <v>292</v>
      </c>
      <c r="AX11" s="1343"/>
      <c r="AY11" s="1328"/>
      <c r="AZ11" s="1334"/>
    </row>
    <row r="12" spans="1:57" ht="24.95" customHeight="1">
      <c r="A12" s="1317" t="s">
        <v>331</v>
      </c>
      <c r="B12" s="795" t="s">
        <v>208</v>
      </c>
      <c r="C12" s="803" t="s">
        <v>32</v>
      </c>
      <c r="D12" s="198" t="s">
        <v>32</v>
      </c>
      <c r="E12" s="199" t="s">
        <v>32</v>
      </c>
      <c r="F12" s="198" t="s">
        <v>32</v>
      </c>
      <c r="G12" s="199" t="s">
        <v>32</v>
      </c>
      <c r="H12" s="200" t="s">
        <v>32</v>
      </c>
      <c r="I12" s="200" t="s">
        <v>32</v>
      </c>
      <c r="J12" s="200" t="s">
        <v>32</v>
      </c>
      <c r="K12" s="200" t="s">
        <v>32</v>
      </c>
      <c r="L12" s="200" t="s">
        <v>32</v>
      </c>
      <c r="M12" s="200" t="s">
        <v>32</v>
      </c>
      <c r="N12" s="200" t="s">
        <v>32</v>
      </c>
      <c r="O12" s="200" t="s">
        <v>32</v>
      </c>
      <c r="P12" s="199" t="s">
        <v>32</v>
      </c>
      <c r="Q12" s="199" t="s">
        <v>32</v>
      </c>
      <c r="R12" s="199" t="s">
        <v>32</v>
      </c>
      <c r="S12" s="199" t="s">
        <v>32</v>
      </c>
      <c r="T12" s="200" t="s">
        <v>32</v>
      </c>
      <c r="U12" s="200" t="s">
        <v>32</v>
      </c>
      <c r="V12" s="200" t="s">
        <v>32</v>
      </c>
      <c r="W12" s="200" t="s">
        <v>32</v>
      </c>
      <c r="X12" s="200" t="s">
        <v>32</v>
      </c>
      <c r="Y12" s="200" t="s">
        <v>32</v>
      </c>
      <c r="Z12" s="200" t="s">
        <v>32</v>
      </c>
      <c r="AA12" s="200" t="s">
        <v>32</v>
      </c>
      <c r="AB12" s="200" t="s">
        <v>32</v>
      </c>
      <c r="AC12" s="200" t="s">
        <v>32</v>
      </c>
      <c r="AD12" s="200" t="s">
        <v>32</v>
      </c>
      <c r="AE12" s="199" t="s">
        <v>32</v>
      </c>
      <c r="AF12" s="198" t="s">
        <v>32</v>
      </c>
      <c r="AG12" s="199" t="s">
        <v>32</v>
      </c>
      <c r="AH12" s="199" t="s">
        <v>32</v>
      </c>
      <c r="AI12" s="199" t="s">
        <v>32</v>
      </c>
      <c r="AJ12" s="200" t="s">
        <v>32</v>
      </c>
      <c r="AK12" s="804" t="s">
        <v>32</v>
      </c>
      <c r="AL12" s="200" t="s">
        <v>32</v>
      </c>
      <c r="AM12" s="199" t="s">
        <v>32</v>
      </c>
      <c r="AN12" s="199" t="s">
        <v>32</v>
      </c>
      <c r="AO12" s="199" t="s">
        <v>32</v>
      </c>
      <c r="AP12" s="199" t="s">
        <v>32</v>
      </c>
      <c r="AQ12" s="198" t="s">
        <v>32</v>
      </c>
      <c r="AR12" s="199" t="s">
        <v>32</v>
      </c>
      <c r="AS12" s="701" t="s">
        <v>32</v>
      </c>
      <c r="AT12" s="199" t="s">
        <v>32</v>
      </c>
      <c r="AU12" s="199" t="s">
        <v>32</v>
      </c>
      <c r="AV12" s="199" t="s">
        <v>32</v>
      </c>
      <c r="AW12" s="199" t="s">
        <v>32</v>
      </c>
      <c r="AX12" s="220" t="s">
        <v>32</v>
      </c>
      <c r="AY12" s="198" t="s">
        <v>32</v>
      </c>
      <c r="AZ12" s="213" t="s">
        <v>32</v>
      </c>
    </row>
    <row r="13" spans="1:57" ht="24.95" customHeight="1">
      <c r="A13" s="1318"/>
      <c r="B13" s="227"/>
      <c r="C13" s="805" t="s">
        <v>4</v>
      </c>
      <c r="D13" s="201" t="s">
        <v>5</v>
      </c>
      <c r="E13" s="201" t="s">
        <v>6</v>
      </c>
      <c r="F13" s="202" t="s">
        <v>7</v>
      </c>
      <c r="G13" s="202" t="s">
        <v>8</v>
      </c>
      <c r="H13" s="202" t="s">
        <v>9</v>
      </c>
      <c r="I13" s="202" t="s">
        <v>61</v>
      </c>
      <c r="J13" s="202" t="s">
        <v>62</v>
      </c>
      <c r="K13" s="201" t="s">
        <v>63</v>
      </c>
      <c r="L13" s="201" t="s">
        <v>10</v>
      </c>
      <c r="M13" s="201" t="s">
        <v>11</v>
      </c>
      <c r="N13" s="202" t="s">
        <v>12</v>
      </c>
      <c r="O13" s="202" t="s">
        <v>13</v>
      </c>
      <c r="P13" s="202" t="s">
        <v>14</v>
      </c>
      <c r="Q13" s="202" t="s">
        <v>15</v>
      </c>
      <c r="R13" s="202" t="s">
        <v>16</v>
      </c>
      <c r="S13" s="202" t="s">
        <v>17</v>
      </c>
      <c r="T13" s="428" t="s">
        <v>90</v>
      </c>
      <c r="U13" s="201" t="s">
        <v>91</v>
      </c>
      <c r="V13" s="204" t="s">
        <v>119</v>
      </c>
      <c r="W13" s="204" t="s">
        <v>120</v>
      </c>
      <c r="X13" s="201" t="s">
        <v>121</v>
      </c>
      <c r="Y13" s="201" t="s">
        <v>165</v>
      </c>
      <c r="Z13" s="202" t="s">
        <v>166</v>
      </c>
      <c r="AA13" s="202" t="s">
        <v>167</v>
      </c>
      <c r="AB13" s="202" t="s">
        <v>168</v>
      </c>
      <c r="AC13" s="202" t="s">
        <v>169</v>
      </c>
      <c r="AD13" s="202" t="s">
        <v>170</v>
      </c>
      <c r="AE13" s="202" t="s">
        <v>171</v>
      </c>
      <c r="AF13" s="202" t="s">
        <v>173</v>
      </c>
      <c r="AG13" s="202" t="s">
        <v>172</v>
      </c>
      <c r="AH13" s="428" t="s">
        <v>187</v>
      </c>
      <c r="AI13" s="202" t="s">
        <v>188</v>
      </c>
      <c r="AJ13" s="202" t="s">
        <v>189</v>
      </c>
      <c r="AK13" s="412" t="s">
        <v>190</v>
      </c>
      <c r="AL13" s="702" t="s">
        <v>191</v>
      </c>
      <c r="AM13" s="202" t="s">
        <v>192</v>
      </c>
      <c r="AN13" s="202" t="s">
        <v>204</v>
      </c>
      <c r="AO13" s="202" t="s">
        <v>225</v>
      </c>
      <c r="AP13" s="202" t="s">
        <v>226</v>
      </c>
      <c r="AQ13" s="202" t="s">
        <v>286</v>
      </c>
      <c r="AR13" s="412" t="s">
        <v>287</v>
      </c>
      <c r="AS13" s="702" t="s">
        <v>230</v>
      </c>
      <c r="AT13" s="202" t="s">
        <v>334</v>
      </c>
      <c r="AU13" s="202" t="s">
        <v>335</v>
      </c>
      <c r="AV13" s="202" t="s">
        <v>337</v>
      </c>
      <c r="AW13" s="202" t="s">
        <v>338</v>
      </c>
      <c r="AX13" s="202" t="s">
        <v>339</v>
      </c>
      <c r="AY13" s="202" t="s">
        <v>340</v>
      </c>
      <c r="AZ13" s="214" t="s">
        <v>347</v>
      </c>
    </row>
    <row r="14" spans="1:57" ht="24.95" customHeight="1">
      <c r="A14" s="225">
        <v>1</v>
      </c>
      <c r="B14" s="229" t="s">
        <v>65</v>
      </c>
      <c r="C14" s="806">
        <v>6901.5</v>
      </c>
      <c r="D14" s="661">
        <v>478</v>
      </c>
      <c r="E14" s="661">
        <v>0</v>
      </c>
      <c r="F14" s="661">
        <v>204.6</v>
      </c>
      <c r="G14" s="661">
        <v>0</v>
      </c>
      <c r="H14" s="661">
        <v>394.1</v>
      </c>
      <c r="I14" s="661">
        <v>75.400000000000006</v>
      </c>
      <c r="J14" s="661">
        <v>0</v>
      </c>
      <c r="K14" s="661">
        <v>0</v>
      </c>
      <c r="L14" s="661">
        <v>56.1</v>
      </c>
      <c r="M14" s="661">
        <v>108.7</v>
      </c>
      <c r="N14" s="192">
        <f>SUM(D14:M14)</f>
        <v>1316.9</v>
      </c>
      <c r="O14" s="192">
        <f>C14+N14</f>
        <v>8218.4</v>
      </c>
      <c r="P14" s="192"/>
      <c r="Q14" s="192"/>
      <c r="R14" s="192"/>
      <c r="S14" s="192"/>
      <c r="T14" s="844">
        <v>37.5</v>
      </c>
      <c r="U14" s="661">
        <v>0</v>
      </c>
      <c r="V14" s="661">
        <v>0</v>
      </c>
      <c r="W14" s="661">
        <v>0</v>
      </c>
      <c r="X14" s="661">
        <v>0</v>
      </c>
      <c r="Y14" s="661">
        <v>0</v>
      </c>
      <c r="Z14" s="661">
        <v>75</v>
      </c>
      <c r="AA14" s="661">
        <v>10</v>
      </c>
      <c r="AB14" s="661">
        <v>50</v>
      </c>
      <c r="AC14" s="661">
        <v>71</v>
      </c>
      <c r="AD14" s="661">
        <v>0</v>
      </c>
      <c r="AE14" s="209">
        <f>SUM(T14:AD14)</f>
        <v>243.5</v>
      </c>
      <c r="AF14" s="211">
        <f>SUM(O14,AE14)</f>
        <v>8461.9</v>
      </c>
      <c r="AG14" s="210">
        <f>P14+U14</f>
        <v>0</v>
      </c>
      <c r="AH14" s="211">
        <f>Q14+X14</f>
        <v>0</v>
      </c>
      <c r="AI14" s="210">
        <f>R14+W14</f>
        <v>0</v>
      </c>
      <c r="AJ14" s="211">
        <f>S14+Y14</f>
        <v>0</v>
      </c>
      <c r="AK14" s="807">
        <f>SUM(Z14:AC14,AG14:AJ14)</f>
        <v>206</v>
      </c>
      <c r="AL14" s="799">
        <v>18</v>
      </c>
      <c r="AM14" s="662">
        <v>64</v>
      </c>
      <c r="AN14" s="195">
        <v>73</v>
      </c>
      <c r="AO14" s="195">
        <v>13</v>
      </c>
      <c r="AP14" s="196"/>
      <c r="AQ14" s="192">
        <f>SUM(AL14:AP14)</f>
        <v>168</v>
      </c>
      <c r="AR14" s="210">
        <f t="shared" ref="AR14:AR32" si="0">SUM(AF14,AQ14)</f>
        <v>8629.9</v>
      </c>
      <c r="AS14" s="703">
        <v>797</v>
      </c>
      <c r="AT14" s="664">
        <v>80</v>
      </c>
      <c r="AU14" s="707">
        <v>533</v>
      </c>
      <c r="AV14" s="705">
        <v>208</v>
      </c>
      <c r="AW14" s="697"/>
      <c r="AX14" s="707">
        <v>6054</v>
      </c>
      <c r="AY14" s="699">
        <v>16</v>
      </c>
      <c r="AZ14" s="413">
        <v>0</v>
      </c>
      <c r="BB14" s="717"/>
      <c r="BC14" s="717"/>
      <c r="BD14" s="667"/>
      <c r="BE14" s="436"/>
    </row>
    <row r="15" spans="1:57" ht="20.100000000000001" customHeight="1">
      <c r="A15" s="223">
        <v>2</v>
      </c>
      <c r="B15" s="230" t="s">
        <v>66</v>
      </c>
      <c r="C15" s="808">
        <v>3164.3</v>
      </c>
      <c r="D15" s="203">
        <v>0</v>
      </c>
      <c r="E15" s="203">
        <v>0</v>
      </c>
      <c r="F15" s="203">
        <v>0</v>
      </c>
      <c r="G15" s="203">
        <v>0</v>
      </c>
      <c r="H15" s="203">
        <v>0</v>
      </c>
      <c r="I15" s="203">
        <v>0</v>
      </c>
      <c r="J15" s="203">
        <v>0</v>
      </c>
      <c r="K15" s="203">
        <v>0</v>
      </c>
      <c r="L15" s="203">
        <v>0</v>
      </c>
      <c r="M15" s="203">
        <v>0</v>
      </c>
      <c r="N15" s="192">
        <f t="shared" ref="N15:N33" si="1">SUM(D15:M15)</f>
        <v>0</v>
      </c>
      <c r="O15" s="192">
        <f t="shared" ref="O15:O33" si="2">C15+N15</f>
        <v>3164.3</v>
      </c>
      <c r="P15" s="192"/>
      <c r="Q15" s="192"/>
      <c r="R15" s="192"/>
      <c r="S15" s="192"/>
      <c r="T15" s="799">
        <v>0</v>
      </c>
      <c r="U15" s="662">
        <v>0</v>
      </c>
      <c r="V15" s="662">
        <v>0</v>
      </c>
      <c r="W15" s="662">
        <v>0</v>
      </c>
      <c r="X15" s="662">
        <v>0</v>
      </c>
      <c r="Y15" s="662">
        <v>0</v>
      </c>
      <c r="Z15" s="662">
        <v>0</v>
      </c>
      <c r="AA15" s="662">
        <v>40</v>
      </c>
      <c r="AB15" s="662">
        <v>12</v>
      </c>
      <c r="AC15" s="662">
        <v>20</v>
      </c>
      <c r="AD15" s="662">
        <v>-20</v>
      </c>
      <c r="AE15" s="210">
        <f t="shared" ref="AE15:AE32" si="3">SUM(T15:AD15)</f>
        <v>52</v>
      </c>
      <c r="AF15" s="211">
        <f t="shared" ref="AF15:AF32" si="4">SUM(O15,AE15)</f>
        <v>3216.3</v>
      </c>
      <c r="AG15" s="210">
        <f t="shared" ref="AG15:AG33" si="5">P15+U15</f>
        <v>0</v>
      </c>
      <c r="AH15" s="211">
        <f t="shared" ref="AH15:AH32" si="6">Q15+X15</f>
        <v>0</v>
      </c>
      <c r="AI15" s="210">
        <f t="shared" ref="AI15:AI33" si="7">R15+W15</f>
        <v>0</v>
      </c>
      <c r="AJ15" s="211">
        <f t="shared" ref="AJ15:AJ33" si="8">S15+Y15</f>
        <v>0</v>
      </c>
      <c r="AK15" s="807">
        <f t="shared" ref="AK15:AK33" si="9">SUM(Z15:AC15,AG15:AJ15)</f>
        <v>72</v>
      </c>
      <c r="AL15" s="799"/>
      <c r="AM15" s="662"/>
      <c r="AN15" s="196"/>
      <c r="AO15" s="196"/>
      <c r="AP15" s="196"/>
      <c r="AQ15" s="192">
        <f t="shared" ref="AQ15:AQ32" si="10">SUM(AL15:AP15)</f>
        <v>0</v>
      </c>
      <c r="AR15" s="210">
        <f t="shared" si="0"/>
        <v>3216.3</v>
      </c>
      <c r="AS15" s="703">
        <v>0</v>
      </c>
      <c r="AT15" s="664">
        <v>0</v>
      </c>
      <c r="AU15" s="708">
        <v>0</v>
      </c>
      <c r="AV15" s="705">
        <v>0</v>
      </c>
      <c r="AW15" s="697"/>
      <c r="AX15" s="708">
        <v>3350</v>
      </c>
      <c r="AY15" s="699">
        <v>0</v>
      </c>
      <c r="AZ15" s="413">
        <v>0</v>
      </c>
      <c r="BB15" s="717"/>
      <c r="BC15" s="717"/>
      <c r="BD15" s="667"/>
    </row>
    <row r="16" spans="1:57" ht="20.100000000000001" customHeight="1">
      <c r="A16" s="223">
        <v>3</v>
      </c>
      <c r="B16" s="230" t="s">
        <v>67</v>
      </c>
      <c r="C16" s="808">
        <v>5232.7</v>
      </c>
      <c r="D16" s="662">
        <v>406</v>
      </c>
      <c r="E16" s="662">
        <v>207.7</v>
      </c>
      <c r="F16" s="662">
        <v>215</v>
      </c>
      <c r="G16" s="662">
        <v>36.799999999999997</v>
      </c>
      <c r="H16" s="662">
        <v>235.7</v>
      </c>
      <c r="I16" s="662">
        <v>0</v>
      </c>
      <c r="J16" s="662">
        <v>0</v>
      </c>
      <c r="K16" s="662">
        <v>0</v>
      </c>
      <c r="L16" s="662">
        <v>38.6</v>
      </c>
      <c r="M16" s="662">
        <v>18</v>
      </c>
      <c r="N16" s="192">
        <f t="shared" si="1"/>
        <v>1157.8</v>
      </c>
      <c r="O16" s="192">
        <f t="shared" si="2"/>
        <v>6390.5</v>
      </c>
      <c r="P16" s="192"/>
      <c r="Q16" s="192"/>
      <c r="R16" s="192"/>
      <c r="S16" s="192"/>
      <c r="T16" s="799">
        <v>25</v>
      </c>
      <c r="U16" s="662">
        <v>0</v>
      </c>
      <c r="V16" s="662">
        <v>0</v>
      </c>
      <c r="W16" s="662">
        <v>0</v>
      </c>
      <c r="X16" s="662">
        <v>0</v>
      </c>
      <c r="Y16" s="662">
        <v>0</v>
      </c>
      <c r="Z16" s="662">
        <v>150</v>
      </c>
      <c r="AA16" s="662">
        <v>50</v>
      </c>
      <c r="AB16" s="662">
        <v>45</v>
      </c>
      <c r="AC16" s="662">
        <v>49</v>
      </c>
      <c r="AD16" s="662">
        <v>0</v>
      </c>
      <c r="AE16" s="210">
        <f t="shared" si="3"/>
        <v>319</v>
      </c>
      <c r="AF16" s="211">
        <f t="shared" si="4"/>
        <v>6709.5</v>
      </c>
      <c r="AG16" s="210">
        <f t="shared" si="5"/>
        <v>0</v>
      </c>
      <c r="AH16" s="211">
        <f t="shared" si="6"/>
        <v>0</v>
      </c>
      <c r="AI16" s="210">
        <f t="shared" si="7"/>
        <v>0</v>
      </c>
      <c r="AJ16" s="211">
        <f t="shared" si="8"/>
        <v>0</v>
      </c>
      <c r="AK16" s="807">
        <f t="shared" si="9"/>
        <v>294</v>
      </c>
      <c r="AL16" s="800">
        <v>18</v>
      </c>
      <c r="AM16" s="195">
        <v>24</v>
      </c>
      <c r="AN16" s="195">
        <v>96</v>
      </c>
      <c r="AO16" s="195">
        <v>12</v>
      </c>
      <c r="AP16" s="195">
        <v>1070</v>
      </c>
      <c r="AQ16" s="192">
        <f t="shared" si="10"/>
        <v>1220</v>
      </c>
      <c r="AR16" s="210">
        <f t="shared" si="0"/>
        <v>7929.5</v>
      </c>
      <c r="AS16" s="703">
        <v>689</v>
      </c>
      <c r="AT16" s="664">
        <v>290</v>
      </c>
      <c r="AU16" s="708">
        <v>376</v>
      </c>
      <c r="AV16" s="705">
        <v>30</v>
      </c>
      <c r="AW16" s="697">
        <v>1070</v>
      </c>
      <c r="AX16" s="708">
        <v>4780</v>
      </c>
      <c r="AY16" s="699">
        <v>13</v>
      </c>
      <c r="AZ16" s="413">
        <v>8</v>
      </c>
      <c r="BB16" s="717"/>
      <c r="BC16" s="717"/>
      <c r="BD16" s="667"/>
      <c r="BE16" s="436"/>
    </row>
    <row r="17" spans="1:57" ht="20.100000000000001" customHeight="1">
      <c r="A17" s="223">
        <v>4</v>
      </c>
      <c r="B17" s="230" t="s">
        <v>89</v>
      </c>
      <c r="C17" s="808">
        <v>7273.3</v>
      </c>
      <c r="D17" s="203">
        <v>0</v>
      </c>
      <c r="E17" s="203">
        <v>0</v>
      </c>
      <c r="F17" s="203">
        <v>0</v>
      </c>
      <c r="G17" s="203">
        <v>0</v>
      </c>
      <c r="H17" s="203">
        <v>0</v>
      </c>
      <c r="I17" s="203">
        <v>0</v>
      </c>
      <c r="J17" s="203">
        <v>0</v>
      </c>
      <c r="K17" s="203">
        <v>0</v>
      </c>
      <c r="L17" s="203">
        <v>0</v>
      </c>
      <c r="M17" s="203">
        <v>0</v>
      </c>
      <c r="N17" s="192">
        <f t="shared" si="1"/>
        <v>0</v>
      </c>
      <c r="O17" s="192">
        <f t="shared" si="2"/>
        <v>7273.3</v>
      </c>
      <c r="P17" s="192"/>
      <c r="Q17" s="192"/>
      <c r="R17" s="192"/>
      <c r="S17" s="192"/>
      <c r="T17" s="799">
        <v>0</v>
      </c>
      <c r="U17" s="662">
        <v>0</v>
      </c>
      <c r="V17" s="662">
        <v>0</v>
      </c>
      <c r="W17" s="662">
        <v>0</v>
      </c>
      <c r="X17" s="662">
        <v>0</v>
      </c>
      <c r="Y17" s="662">
        <v>0</v>
      </c>
      <c r="Z17" s="662">
        <v>0</v>
      </c>
      <c r="AA17" s="662">
        <v>107</v>
      </c>
      <c r="AB17" s="662">
        <v>0</v>
      </c>
      <c r="AC17" s="662">
        <v>24</v>
      </c>
      <c r="AD17" s="662">
        <v>0</v>
      </c>
      <c r="AE17" s="210">
        <f t="shared" si="3"/>
        <v>131</v>
      </c>
      <c r="AF17" s="211">
        <f t="shared" si="4"/>
        <v>7404.3</v>
      </c>
      <c r="AG17" s="210">
        <f t="shared" si="5"/>
        <v>0</v>
      </c>
      <c r="AH17" s="211">
        <f t="shared" si="6"/>
        <v>0</v>
      </c>
      <c r="AI17" s="210">
        <f t="shared" si="7"/>
        <v>0</v>
      </c>
      <c r="AJ17" s="211">
        <f t="shared" si="8"/>
        <v>0</v>
      </c>
      <c r="AK17" s="807">
        <f t="shared" si="9"/>
        <v>131</v>
      </c>
      <c r="AL17" s="801"/>
      <c r="AM17" s="196"/>
      <c r="AN17" s="196"/>
      <c r="AO17" s="196"/>
      <c r="AP17" s="195">
        <v>1547</v>
      </c>
      <c r="AQ17" s="192">
        <f t="shared" si="10"/>
        <v>1547</v>
      </c>
      <c r="AR17" s="210">
        <f t="shared" si="0"/>
        <v>8951.2999999999993</v>
      </c>
      <c r="AS17" s="703">
        <v>0</v>
      </c>
      <c r="AT17" s="664">
        <v>0</v>
      </c>
      <c r="AU17" s="708">
        <v>0</v>
      </c>
      <c r="AV17" s="705">
        <v>0</v>
      </c>
      <c r="AW17" s="697">
        <v>1547</v>
      </c>
      <c r="AX17" s="708">
        <v>5883</v>
      </c>
      <c r="AY17" s="699">
        <v>0</v>
      </c>
      <c r="AZ17" s="413">
        <v>0</v>
      </c>
      <c r="BB17" s="717"/>
      <c r="BC17" s="717"/>
      <c r="BD17" s="667"/>
      <c r="BE17" s="436"/>
    </row>
    <row r="18" spans="1:57" ht="20.100000000000001" customHeight="1">
      <c r="A18" s="223">
        <v>5</v>
      </c>
      <c r="B18" s="230" t="s">
        <v>68</v>
      </c>
      <c r="C18" s="808">
        <v>11074.5</v>
      </c>
      <c r="D18" s="662">
        <v>601.20000000000005</v>
      </c>
      <c r="E18" s="662">
        <v>0</v>
      </c>
      <c r="F18" s="662">
        <v>215.5</v>
      </c>
      <c r="G18" s="662">
        <v>0</v>
      </c>
      <c r="H18" s="662">
        <v>430.6</v>
      </c>
      <c r="I18" s="662">
        <v>0</v>
      </c>
      <c r="J18" s="662">
        <v>368.9</v>
      </c>
      <c r="K18" s="662">
        <v>0</v>
      </c>
      <c r="L18" s="662">
        <v>62.9</v>
      </c>
      <c r="M18" s="662">
        <v>138.30000000000001</v>
      </c>
      <c r="N18" s="192">
        <f t="shared" si="1"/>
        <v>1817.4000000000003</v>
      </c>
      <c r="O18" s="192">
        <f t="shared" si="2"/>
        <v>12891.9</v>
      </c>
      <c r="P18" s="192"/>
      <c r="Q18" s="192"/>
      <c r="R18" s="192"/>
      <c r="S18" s="192"/>
      <c r="T18" s="799">
        <v>50.000000000000007</v>
      </c>
      <c r="U18" s="662">
        <v>0</v>
      </c>
      <c r="V18" s="662">
        <v>0</v>
      </c>
      <c r="W18" s="662">
        <v>0</v>
      </c>
      <c r="X18" s="662">
        <v>0</v>
      </c>
      <c r="Y18" s="662">
        <v>0</v>
      </c>
      <c r="Z18" s="662">
        <v>50</v>
      </c>
      <c r="AA18" s="662">
        <v>0</v>
      </c>
      <c r="AB18" s="662">
        <v>60</v>
      </c>
      <c r="AC18" s="662">
        <v>92</v>
      </c>
      <c r="AD18" s="662">
        <v>0</v>
      </c>
      <c r="AE18" s="210">
        <f t="shared" si="3"/>
        <v>252</v>
      </c>
      <c r="AF18" s="211">
        <f t="shared" si="4"/>
        <v>13143.9</v>
      </c>
      <c r="AG18" s="210">
        <f t="shared" si="5"/>
        <v>0</v>
      </c>
      <c r="AH18" s="211">
        <f t="shared" si="6"/>
        <v>0</v>
      </c>
      <c r="AI18" s="210">
        <f t="shared" si="7"/>
        <v>0</v>
      </c>
      <c r="AJ18" s="211">
        <f t="shared" si="8"/>
        <v>0</v>
      </c>
      <c r="AK18" s="807">
        <f t="shared" si="9"/>
        <v>202</v>
      </c>
      <c r="AL18" s="800">
        <v>48</v>
      </c>
      <c r="AM18" s="196"/>
      <c r="AN18" s="195">
        <v>56</v>
      </c>
      <c r="AO18" s="195">
        <v>18</v>
      </c>
      <c r="AP18" s="196"/>
      <c r="AQ18" s="192">
        <f t="shared" si="10"/>
        <v>122</v>
      </c>
      <c r="AR18" s="210">
        <f t="shared" si="0"/>
        <v>13265.9</v>
      </c>
      <c r="AS18" s="703">
        <v>1027</v>
      </c>
      <c r="AT18" s="664">
        <v>0</v>
      </c>
      <c r="AU18" s="708">
        <v>565</v>
      </c>
      <c r="AV18" s="705">
        <v>549</v>
      </c>
      <c r="AW18" s="697"/>
      <c r="AX18" s="708">
        <v>8136</v>
      </c>
      <c r="AY18" s="699">
        <v>17</v>
      </c>
      <c r="AZ18" s="413">
        <v>0</v>
      </c>
      <c r="BB18" s="717"/>
      <c r="BC18" s="717"/>
      <c r="BD18" s="667"/>
      <c r="BE18" s="436"/>
    </row>
    <row r="19" spans="1:57" ht="24.95" customHeight="1">
      <c r="A19" s="223">
        <v>6</v>
      </c>
      <c r="B19" s="230" t="s">
        <v>69</v>
      </c>
      <c r="C19" s="808">
        <v>9370.4</v>
      </c>
      <c r="D19" s="203">
        <v>0</v>
      </c>
      <c r="E19" s="203">
        <v>0</v>
      </c>
      <c r="F19" s="203">
        <v>0</v>
      </c>
      <c r="G19" s="203">
        <v>0</v>
      </c>
      <c r="H19" s="203">
        <v>0</v>
      </c>
      <c r="I19" s="203">
        <v>0</v>
      </c>
      <c r="J19" s="203">
        <v>0</v>
      </c>
      <c r="K19" s="203">
        <v>0</v>
      </c>
      <c r="L19" s="203">
        <v>0</v>
      </c>
      <c r="M19" s="203">
        <v>0</v>
      </c>
      <c r="N19" s="192">
        <f t="shared" si="1"/>
        <v>0</v>
      </c>
      <c r="O19" s="192">
        <f t="shared" si="2"/>
        <v>9370.4</v>
      </c>
      <c r="P19" s="192"/>
      <c r="Q19" s="192"/>
      <c r="R19" s="192"/>
      <c r="S19" s="192"/>
      <c r="T19" s="799">
        <v>0</v>
      </c>
      <c r="U19" s="662">
        <v>0</v>
      </c>
      <c r="V19" s="662">
        <v>0</v>
      </c>
      <c r="W19" s="662">
        <v>0</v>
      </c>
      <c r="X19" s="662">
        <v>0</v>
      </c>
      <c r="Y19" s="662">
        <v>0</v>
      </c>
      <c r="Z19" s="662">
        <v>0</v>
      </c>
      <c r="AA19" s="662">
        <v>157</v>
      </c>
      <c r="AB19" s="662">
        <v>0</v>
      </c>
      <c r="AC19" s="662">
        <v>51</v>
      </c>
      <c r="AD19" s="662">
        <v>0</v>
      </c>
      <c r="AE19" s="210">
        <f t="shared" si="3"/>
        <v>208</v>
      </c>
      <c r="AF19" s="211">
        <f t="shared" si="4"/>
        <v>9578.4</v>
      </c>
      <c r="AG19" s="210">
        <f t="shared" si="5"/>
        <v>0</v>
      </c>
      <c r="AH19" s="211">
        <f t="shared" si="6"/>
        <v>0</v>
      </c>
      <c r="AI19" s="210">
        <f t="shared" si="7"/>
        <v>0</v>
      </c>
      <c r="AJ19" s="211">
        <f t="shared" si="8"/>
        <v>0</v>
      </c>
      <c r="AK19" s="807">
        <f t="shared" si="9"/>
        <v>208</v>
      </c>
      <c r="AL19" s="801"/>
      <c r="AM19" s="196"/>
      <c r="AN19" s="196"/>
      <c r="AO19" s="196"/>
      <c r="AP19" s="195">
        <v>1378</v>
      </c>
      <c r="AQ19" s="192">
        <f t="shared" si="10"/>
        <v>1378</v>
      </c>
      <c r="AR19" s="210">
        <f t="shared" si="0"/>
        <v>10956.4</v>
      </c>
      <c r="AS19" s="703">
        <v>0</v>
      </c>
      <c r="AT19" s="664">
        <v>0</v>
      </c>
      <c r="AU19" s="708">
        <v>0</v>
      </c>
      <c r="AV19" s="705">
        <v>0</v>
      </c>
      <c r="AW19" s="697">
        <v>1378</v>
      </c>
      <c r="AX19" s="708">
        <v>8268</v>
      </c>
      <c r="AY19" s="699">
        <v>0</v>
      </c>
      <c r="AZ19" s="413">
        <v>0</v>
      </c>
      <c r="BB19" s="717"/>
      <c r="BC19" s="717"/>
      <c r="BD19" s="667"/>
      <c r="BE19" s="436"/>
    </row>
    <row r="20" spans="1:57" ht="20.100000000000001" customHeight="1">
      <c r="A20" s="223">
        <v>7</v>
      </c>
      <c r="B20" s="230" t="s">
        <v>70</v>
      </c>
      <c r="C20" s="808">
        <v>1206.3</v>
      </c>
      <c r="D20" s="203">
        <v>0</v>
      </c>
      <c r="E20" s="203">
        <v>0</v>
      </c>
      <c r="F20" s="203">
        <v>0</v>
      </c>
      <c r="G20" s="203">
        <v>0</v>
      </c>
      <c r="H20" s="203">
        <v>0</v>
      </c>
      <c r="I20" s="203">
        <v>0</v>
      </c>
      <c r="J20" s="203">
        <v>0</v>
      </c>
      <c r="K20" s="203">
        <v>0</v>
      </c>
      <c r="L20" s="203">
        <v>0</v>
      </c>
      <c r="M20" s="203">
        <v>0</v>
      </c>
      <c r="N20" s="192">
        <f t="shared" si="1"/>
        <v>0</v>
      </c>
      <c r="O20" s="192">
        <f t="shared" si="2"/>
        <v>1206.3</v>
      </c>
      <c r="P20" s="192"/>
      <c r="Q20" s="192"/>
      <c r="R20" s="192"/>
      <c r="S20" s="192"/>
      <c r="T20" s="799">
        <v>0</v>
      </c>
      <c r="U20" s="662">
        <v>0</v>
      </c>
      <c r="V20" s="662">
        <v>0</v>
      </c>
      <c r="W20" s="662">
        <v>0</v>
      </c>
      <c r="X20" s="662">
        <v>0</v>
      </c>
      <c r="Y20" s="662">
        <v>0</v>
      </c>
      <c r="Z20" s="662">
        <v>7</v>
      </c>
      <c r="AA20" s="662">
        <v>0</v>
      </c>
      <c r="AB20" s="662">
        <v>10</v>
      </c>
      <c r="AC20" s="662">
        <v>30</v>
      </c>
      <c r="AD20" s="662">
        <v>0</v>
      </c>
      <c r="AE20" s="210">
        <f t="shared" si="3"/>
        <v>47</v>
      </c>
      <c r="AF20" s="211">
        <f t="shared" si="4"/>
        <v>1253.3</v>
      </c>
      <c r="AG20" s="210">
        <f t="shared" si="5"/>
        <v>0</v>
      </c>
      <c r="AH20" s="211">
        <f t="shared" si="6"/>
        <v>0</v>
      </c>
      <c r="AI20" s="210">
        <f t="shared" si="7"/>
        <v>0</v>
      </c>
      <c r="AJ20" s="211">
        <f t="shared" si="8"/>
        <v>0</v>
      </c>
      <c r="AK20" s="807">
        <f t="shared" si="9"/>
        <v>47</v>
      </c>
      <c r="AL20" s="801"/>
      <c r="AM20" s="196"/>
      <c r="AN20" s="196"/>
      <c r="AO20" s="196"/>
      <c r="AP20" s="196"/>
      <c r="AQ20" s="192">
        <f t="shared" si="10"/>
        <v>0</v>
      </c>
      <c r="AR20" s="210">
        <f t="shared" si="0"/>
        <v>1253.3</v>
      </c>
      <c r="AS20" s="703">
        <v>0</v>
      </c>
      <c r="AT20" s="664">
        <v>0</v>
      </c>
      <c r="AU20" s="708">
        <v>0</v>
      </c>
      <c r="AV20" s="705">
        <v>0</v>
      </c>
      <c r="AW20" s="697"/>
      <c r="AX20" s="708">
        <v>929</v>
      </c>
      <c r="AY20" s="699">
        <v>0</v>
      </c>
      <c r="AZ20" s="413">
        <v>0</v>
      </c>
      <c r="BB20" s="717"/>
      <c r="BC20" s="717"/>
      <c r="BD20" s="667"/>
      <c r="BE20" s="436"/>
    </row>
    <row r="21" spans="1:57" ht="20.100000000000001" customHeight="1">
      <c r="A21" s="223">
        <v>8</v>
      </c>
      <c r="B21" s="230" t="s">
        <v>71</v>
      </c>
      <c r="C21" s="808">
        <v>12043.4</v>
      </c>
      <c r="D21" s="662">
        <v>658</v>
      </c>
      <c r="E21" s="662">
        <v>283.3</v>
      </c>
      <c r="F21" s="662">
        <v>290</v>
      </c>
      <c r="G21" s="662">
        <v>61.1</v>
      </c>
      <c r="H21" s="662">
        <v>469.2</v>
      </c>
      <c r="I21" s="662">
        <v>0</v>
      </c>
      <c r="J21" s="662">
        <v>0</v>
      </c>
      <c r="K21" s="662">
        <v>113</v>
      </c>
      <c r="L21" s="662">
        <v>67.400000000000006</v>
      </c>
      <c r="M21" s="662">
        <v>115.6</v>
      </c>
      <c r="N21" s="192">
        <f t="shared" si="1"/>
        <v>2057.6</v>
      </c>
      <c r="O21" s="192">
        <f t="shared" si="2"/>
        <v>14101</v>
      </c>
      <c r="P21" s="192">
        <v>39.799999999999997</v>
      </c>
      <c r="Q21" s="192"/>
      <c r="R21" s="192"/>
      <c r="S21" s="192"/>
      <c r="T21" s="799">
        <v>50.000000000000007</v>
      </c>
      <c r="U21" s="662">
        <v>15</v>
      </c>
      <c r="V21" s="662">
        <v>0</v>
      </c>
      <c r="W21" s="662">
        <v>0</v>
      </c>
      <c r="X21" s="662">
        <v>0</v>
      </c>
      <c r="Y21" s="662">
        <v>0</v>
      </c>
      <c r="Z21" s="662">
        <v>200</v>
      </c>
      <c r="AA21" s="662">
        <v>16</v>
      </c>
      <c r="AB21" s="662">
        <v>25</v>
      </c>
      <c r="AC21" s="662">
        <v>122</v>
      </c>
      <c r="AD21" s="662">
        <v>0</v>
      </c>
      <c r="AE21" s="210">
        <f t="shared" si="3"/>
        <v>428</v>
      </c>
      <c r="AF21" s="211">
        <f t="shared" si="4"/>
        <v>14529</v>
      </c>
      <c r="AG21" s="210">
        <f t="shared" si="5"/>
        <v>54.8</v>
      </c>
      <c r="AH21" s="211">
        <f t="shared" si="6"/>
        <v>0</v>
      </c>
      <c r="AI21" s="210">
        <f t="shared" si="7"/>
        <v>0</v>
      </c>
      <c r="AJ21" s="211">
        <f t="shared" si="8"/>
        <v>0</v>
      </c>
      <c r="AK21" s="807">
        <f t="shared" si="9"/>
        <v>417.8</v>
      </c>
      <c r="AL21" s="800">
        <v>81</v>
      </c>
      <c r="AM21" s="195">
        <v>32</v>
      </c>
      <c r="AN21" s="195">
        <v>104</v>
      </c>
      <c r="AO21" s="195">
        <v>13</v>
      </c>
      <c r="AP21" s="196"/>
      <c r="AQ21" s="192">
        <f t="shared" si="10"/>
        <v>230</v>
      </c>
      <c r="AR21" s="210">
        <f t="shared" si="0"/>
        <v>14759</v>
      </c>
      <c r="AS21" s="703">
        <v>1153</v>
      </c>
      <c r="AT21" s="664">
        <v>402</v>
      </c>
      <c r="AU21" s="708">
        <v>649</v>
      </c>
      <c r="AV21" s="705">
        <v>253</v>
      </c>
      <c r="AW21" s="697"/>
      <c r="AX21" s="708">
        <v>10604</v>
      </c>
      <c r="AY21" s="699">
        <v>18</v>
      </c>
      <c r="AZ21" s="413">
        <v>9</v>
      </c>
      <c r="BB21" s="717"/>
      <c r="BC21" s="717"/>
      <c r="BD21" s="667"/>
    </row>
    <row r="22" spans="1:57" ht="20.100000000000001" customHeight="1">
      <c r="A22" s="223">
        <v>9</v>
      </c>
      <c r="B22" s="230" t="s">
        <v>72</v>
      </c>
      <c r="C22" s="808">
        <v>4337.5999999999995</v>
      </c>
      <c r="D22" s="203">
        <v>0</v>
      </c>
      <c r="E22" s="203">
        <v>0</v>
      </c>
      <c r="F22" s="203">
        <v>0</v>
      </c>
      <c r="G22" s="203">
        <v>0</v>
      </c>
      <c r="H22" s="203">
        <v>0</v>
      </c>
      <c r="I22" s="203">
        <v>0</v>
      </c>
      <c r="J22" s="203">
        <v>0</v>
      </c>
      <c r="K22" s="203">
        <v>0</v>
      </c>
      <c r="L22" s="203">
        <v>0</v>
      </c>
      <c r="M22" s="203">
        <v>0</v>
      </c>
      <c r="N22" s="192">
        <f t="shared" si="1"/>
        <v>0</v>
      </c>
      <c r="O22" s="192">
        <f t="shared" si="2"/>
        <v>4337.5999999999995</v>
      </c>
      <c r="P22" s="192"/>
      <c r="Q22" s="192">
        <v>12</v>
      </c>
      <c r="R22" s="192"/>
      <c r="S22" s="192"/>
      <c r="T22" s="799">
        <v>50</v>
      </c>
      <c r="U22" s="662">
        <v>0</v>
      </c>
      <c r="V22" s="662">
        <v>0</v>
      </c>
      <c r="W22" s="662">
        <v>0</v>
      </c>
      <c r="X22" s="662">
        <v>12</v>
      </c>
      <c r="Y22" s="662">
        <v>0</v>
      </c>
      <c r="Z22" s="662">
        <v>60</v>
      </c>
      <c r="AA22" s="662">
        <v>60</v>
      </c>
      <c r="AB22" s="662">
        <v>25</v>
      </c>
      <c r="AC22" s="662">
        <v>70</v>
      </c>
      <c r="AD22" s="662">
        <v>0</v>
      </c>
      <c r="AE22" s="210">
        <f t="shared" si="3"/>
        <v>277</v>
      </c>
      <c r="AF22" s="211">
        <f t="shared" si="4"/>
        <v>4614.5999999999995</v>
      </c>
      <c r="AG22" s="210">
        <f t="shared" si="5"/>
        <v>0</v>
      </c>
      <c r="AH22" s="211">
        <f t="shared" si="6"/>
        <v>24</v>
      </c>
      <c r="AI22" s="210">
        <f t="shared" si="7"/>
        <v>0</v>
      </c>
      <c r="AJ22" s="211">
        <f t="shared" si="8"/>
        <v>0</v>
      </c>
      <c r="AK22" s="807">
        <f t="shared" si="9"/>
        <v>239</v>
      </c>
      <c r="AL22" s="801"/>
      <c r="AM22" s="196"/>
      <c r="AN22" s="196"/>
      <c r="AO22" s="196"/>
      <c r="AP22" s="196"/>
      <c r="AQ22" s="192">
        <f t="shared" si="10"/>
        <v>0</v>
      </c>
      <c r="AR22" s="210">
        <f t="shared" si="0"/>
        <v>4614.5999999999995</v>
      </c>
      <c r="AS22" s="703">
        <v>0</v>
      </c>
      <c r="AT22" s="664">
        <v>0</v>
      </c>
      <c r="AU22" s="708">
        <v>0</v>
      </c>
      <c r="AV22" s="705">
        <v>0</v>
      </c>
      <c r="AW22" s="697"/>
      <c r="AX22" s="708">
        <v>3867</v>
      </c>
      <c r="AY22" s="699">
        <v>0</v>
      </c>
      <c r="AZ22" s="413">
        <v>0</v>
      </c>
      <c r="BB22" s="717"/>
      <c r="BC22" s="717"/>
      <c r="BD22" s="667"/>
      <c r="BE22" s="436"/>
    </row>
    <row r="23" spans="1:57" ht="20.100000000000001" customHeight="1">
      <c r="A23" s="223">
        <v>10</v>
      </c>
      <c r="B23" s="230" t="s">
        <v>140</v>
      </c>
      <c r="C23" s="808">
        <v>4497.7999999999993</v>
      </c>
      <c r="D23" s="203">
        <v>0</v>
      </c>
      <c r="E23" s="203">
        <v>0</v>
      </c>
      <c r="F23" s="203">
        <v>0</v>
      </c>
      <c r="G23" s="203">
        <v>0</v>
      </c>
      <c r="H23" s="203">
        <v>0</v>
      </c>
      <c r="I23" s="203">
        <v>0</v>
      </c>
      <c r="J23" s="203">
        <v>0</v>
      </c>
      <c r="K23" s="203">
        <v>0</v>
      </c>
      <c r="L23" s="203">
        <v>0</v>
      </c>
      <c r="M23" s="203">
        <v>0</v>
      </c>
      <c r="N23" s="192">
        <f t="shared" si="1"/>
        <v>0</v>
      </c>
      <c r="O23" s="192">
        <f t="shared" si="2"/>
        <v>4497.7999999999993</v>
      </c>
      <c r="P23" s="192"/>
      <c r="Q23" s="192"/>
      <c r="R23" s="192"/>
      <c r="S23" s="192"/>
      <c r="T23" s="799">
        <v>0</v>
      </c>
      <c r="U23" s="662">
        <v>0</v>
      </c>
      <c r="V23" s="662">
        <v>200</v>
      </c>
      <c r="W23" s="662">
        <v>0</v>
      </c>
      <c r="X23" s="662">
        <v>0</v>
      </c>
      <c r="Y23" s="662">
        <v>0</v>
      </c>
      <c r="Z23" s="662">
        <v>0</v>
      </c>
      <c r="AA23" s="662">
        <v>0</v>
      </c>
      <c r="AB23" s="662">
        <v>0</v>
      </c>
      <c r="AC23" s="662">
        <v>0</v>
      </c>
      <c r="AD23" s="662">
        <v>0</v>
      </c>
      <c r="AE23" s="210">
        <f t="shared" si="3"/>
        <v>200</v>
      </c>
      <c r="AF23" s="211">
        <f t="shared" si="4"/>
        <v>4697.7999999999993</v>
      </c>
      <c r="AG23" s="210">
        <f t="shared" si="5"/>
        <v>0</v>
      </c>
      <c r="AH23" s="211">
        <f t="shared" si="6"/>
        <v>0</v>
      </c>
      <c r="AI23" s="210">
        <f t="shared" si="7"/>
        <v>0</v>
      </c>
      <c r="AJ23" s="211">
        <f t="shared" si="8"/>
        <v>0</v>
      </c>
      <c r="AK23" s="807">
        <f t="shared" si="9"/>
        <v>0</v>
      </c>
      <c r="AL23" s="801"/>
      <c r="AM23" s="196"/>
      <c r="AN23" s="437">
        <v>20</v>
      </c>
      <c r="AO23" s="196"/>
      <c r="AP23" s="196"/>
      <c r="AQ23" s="192">
        <f t="shared" si="10"/>
        <v>20</v>
      </c>
      <c r="AR23" s="210">
        <f t="shared" si="0"/>
        <v>4717.7999999999993</v>
      </c>
      <c r="AS23" s="703">
        <v>0</v>
      </c>
      <c r="AT23" s="664">
        <v>0</v>
      </c>
      <c r="AU23" s="708">
        <v>20</v>
      </c>
      <c r="AV23" s="705">
        <v>0</v>
      </c>
      <c r="AW23" s="697"/>
      <c r="AX23" s="708">
        <v>4945</v>
      </c>
      <c r="AY23" s="699">
        <v>0</v>
      </c>
      <c r="AZ23" s="413">
        <v>0</v>
      </c>
      <c r="BB23" s="717"/>
      <c r="BC23" s="717"/>
      <c r="BD23" s="667"/>
    </row>
    <row r="24" spans="1:57" ht="24.95" customHeight="1">
      <c r="A24" s="223">
        <v>11</v>
      </c>
      <c r="B24" s="230" t="s">
        <v>141</v>
      </c>
      <c r="C24" s="808">
        <v>3772.6</v>
      </c>
      <c r="D24" s="662">
        <v>0</v>
      </c>
      <c r="E24" s="662">
        <v>0</v>
      </c>
      <c r="F24" s="662">
        <v>0</v>
      </c>
      <c r="G24" s="662">
        <v>0</v>
      </c>
      <c r="H24" s="662">
        <v>0</v>
      </c>
      <c r="I24" s="662">
        <v>0</v>
      </c>
      <c r="J24" s="662">
        <v>0</v>
      </c>
      <c r="K24" s="662">
        <v>0</v>
      </c>
      <c r="L24" s="662">
        <v>0</v>
      </c>
      <c r="M24" s="662">
        <v>13</v>
      </c>
      <c r="N24" s="192">
        <f t="shared" si="1"/>
        <v>13</v>
      </c>
      <c r="O24" s="192">
        <f t="shared" si="2"/>
        <v>3785.6</v>
      </c>
      <c r="P24" s="192"/>
      <c r="Q24" s="192"/>
      <c r="R24" s="192"/>
      <c r="S24" s="192"/>
      <c r="T24" s="799">
        <v>0</v>
      </c>
      <c r="U24" s="662">
        <v>0</v>
      </c>
      <c r="V24" s="662">
        <v>0</v>
      </c>
      <c r="W24" s="662">
        <v>0</v>
      </c>
      <c r="X24" s="662">
        <v>0</v>
      </c>
      <c r="Y24" s="662">
        <v>0</v>
      </c>
      <c r="Z24" s="662">
        <v>0</v>
      </c>
      <c r="AA24" s="662">
        <v>60</v>
      </c>
      <c r="AB24" s="662">
        <v>20</v>
      </c>
      <c r="AC24" s="662">
        <v>30</v>
      </c>
      <c r="AD24" s="662">
        <v>0</v>
      </c>
      <c r="AE24" s="210">
        <f t="shared" si="3"/>
        <v>110</v>
      </c>
      <c r="AF24" s="211">
        <f t="shared" si="4"/>
        <v>3895.6</v>
      </c>
      <c r="AG24" s="210">
        <f t="shared" si="5"/>
        <v>0</v>
      </c>
      <c r="AH24" s="211">
        <f t="shared" si="6"/>
        <v>0</v>
      </c>
      <c r="AI24" s="210">
        <f t="shared" si="7"/>
        <v>0</v>
      </c>
      <c r="AJ24" s="211">
        <f t="shared" si="8"/>
        <v>0</v>
      </c>
      <c r="AK24" s="807">
        <f t="shared" si="9"/>
        <v>110</v>
      </c>
      <c r="AL24" s="801"/>
      <c r="AM24" s="196"/>
      <c r="AN24" s="196"/>
      <c r="AO24" s="195">
        <v>2</v>
      </c>
      <c r="AP24" s="196"/>
      <c r="AQ24" s="192">
        <f t="shared" si="10"/>
        <v>2</v>
      </c>
      <c r="AR24" s="210">
        <f t="shared" si="0"/>
        <v>3897.6</v>
      </c>
      <c r="AS24" s="703">
        <v>0</v>
      </c>
      <c r="AT24" s="664">
        <v>0</v>
      </c>
      <c r="AU24" s="708">
        <v>0</v>
      </c>
      <c r="AV24" s="705">
        <v>15</v>
      </c>
      <c r="AW24" s="697"/>
      <c r="AX24" s="708">
        <v>0</v>
      </c>
      <c r="AY24" s="699">
        <v>0</v>
      </c>
      <c r="AZ24" s="413">
        <v>0</v>
      </c>
      <c r="BB24" s="717"/>
      <c r="BC24" s="717"/>
      <c r="BD24" s="667"/>
      <c r="BE24" s="436"/>
    </row>
    <row r="25" spans="1:57" ht="20.100000000000001" customHeight="1">
      <c r="A25" s="223">
        <v>12</v>
      </c>
      <c r="B25" s="230" t="s">
        <v>84</v>
      </c>
      <c r="C25" s="808">
        <v>2204.5</v>
      </c>
      <c r="D25" s="203">
        <v>0</v>
      </c>
      <c r="E25" s="203">
        <v>0</v>
      </c>
      <c r="F25" s="203">
        <v>0</v>
      </c>
      <c r="G25" s="203">
        <v>0</v>
      </c>
      <c r="H25" s="203">
        <v>0</v>
      </c>
      <c r="I25" s="203">
        <v>0</v>
      </c>
      <c r="J25" s="203">
        <v>0</v>
      </c>
      <c r="K25" s="203">
        <v>0</v>
      </c>
      <c r="L25" s="203">
        <v>0</v>
      </c>
      <c r="M25" s="203">
        <v>0</v>
      </c>
      <c r="N25" s="192">
        <f t="shared" si="1"/>
        <v>0</v>
      </c>
      <c r="O25" s="192">
        <f t="shared" si="2"/>
        <v>2204.5</v>
      </c>
      <c r="P25" s="192"/>
      <c r="Q25" s="192"/>
      <c r="R25" s="192"/>
      <c r="S25" s="192"/>
      <c r="T25" s="799">
        <v>0</v>
      </c>
      <c r="U25" s="662">
        <v>0</v>
      </c>
      <c r="V25" s="662">
        <v>0</v>
      </c>
      <c r="W25" s="662">
        <v>0</v>
      </c>
      <c r="X25" s="662">
        <v>0</v>
      </c>
      <c r="Y25" s="662">
        <v>10</v>
      </c>
      <c r="Z25" s="662">
        <v>0</v>
      </c>
      <c r="AA25" s="662">
        <v>60</v>
      </c>
      <c r="AB25" s="662">
        <v>0</v>
      </c>
      <c r="AC25" s="662">
        <v>27</v>
      </c>
      <c r="AD25" s="662">
        <v>0</v>
      </c>
      <c r="AE25" s="210">
        <f t="shared" si="3"/>
        <v>97</v>
      </c>
      <c r="AF25" s="211">
        <f t="shared" si="4"/>
        <v>2301.5</v>
      </c>
      <c r="AG25" s="210">
        <f t="shared" si="5"/>
        <v>0</v>
      </c>
      <c r="AH25" s="211">
        <f t="shared" si="6"/>
        <v>0</v>
      </c>
      <c r="AI25" s="210">
        <f t="shared" si="7"/>
        <v>0</v>
      </c>
      <c r="AJ25" s="211">
        <f t="shared" si="8"/>
        <v>10</v>
      </c>
      <c r="AK25" s="807">
        <f t="shared" si="9"/>
        <v>97</v>
      </c>
      <c r="AL25" s="801"/>
      <c r="AM25" s="196"/>
      <c r="AN25" s="196"/>
      <c r="AO25" s="196"/>
      <c r="AP25" s="196"/>
      <c r="AQ25" s="192">
        <f t="shared" si="10"/>
        <v>0</v>
      </c>
      <c r="AR25" s="210">
        <f t="shared" si="0"/>
        <v>2301.5</v>
      </c>
      <c r="AS25" s="703">
        <v>0</v>
      </c>
      <c r="AT25" s="664">
        <v>0</v>
      </c>
      <c r="AU25" s="708">
        <v>0</v>
      </c>
      <c r="AV25" s="705">
        <v>0</v>
      </c>
      <c r="AW25" s="697"/>
      <c r="AX25" s="708">
        <v>2162</v>
      </c>
      <c r="AY25" s="699">
        <v>0</v>
      </c>
      <c r="AZ25" s="413">
        <v>0</v>
      </c>
      <c r="BB25" s="717"/>
      <c r="BC25" s="717"/>
      <c r="BD25" s="667"/>
      <c r="BE25" s="436"/>
    </row>
    <row r="26" spans="1:57" ht="20.100000000000001" customHeight="1">
      <c r="A26" s="223">
        <v>13</v>
      </c>
      <c r="B26" s="230" t="s">
        <v>73</v>
      </c>
      <c r="C26" s="808">
        <v>6025.9999999999991</v>
      </c>
      <c r="D26" s="203">
        <v>0</v>
      </c>
      <c r="E26" s="203">
        <v>0</v>
      </c>
      <c r="F26" s="203">
        <v>0</v>
      </c>
      <c r="G26" s="203">
        <v>0</v>
      </c>
      <c r="H26" s="203">
        <v>0</v>
      </c>
      <c r="I26" s="203">
        <v>0</v>
      </c>
      <c r="J26" s="203">
        <v>0</v>
      </c>
      <c r="K26" s="203">
        <v>0</v>
      </c>
      <c r="L26" s="203">
        <v>0</v>
      </c>
      <c r="M26" s="203">
        <v>0</v>
      </c>
      <c r="N26" s="192">
        <f t="shared" si="1"/>
        <v>0</v>
      </c>
      <c r="O26" s="192">
        <f t="shared" si="2"/>
        <v>6025.9999999999991</v>
      </c>
      <c r="P26" s="192"/>
      <c r="Q26" s="192"/>
      <c r="R26" s="192"/>
      <c r="S26" s="192">
        <v>70</v>
      </c>
      <c r="T26" s="799">
        <v>0</v>
      </c>
      <c r="U26" s="662">
        <v>0</v>
      </c>
      <c r="V26" s="662">
        <v>0</v>
      </c>
      <c r="W26" s="662">
        <v>0</v>
      </c>
      <c r="X26" s="662">
        <v>0</v>
      </c>
      <c r="Y26" s="662">
        <v>0</v>
      </c>
      <c r="Z26" s="662">
        <v>0</v>
      </c>
      <c r="AA26" s="662">
        <v>75</v>
      </c>
      <c r="AB26" s="662">
        <v>20</v>
      </c>
      <c r="AC26" s="662">
        <v>50</v>
      </c>
      <c r="AD26" s="662">
        <v>0</v>
      </c>
      <c r="AE26" s="210">
        <f t="shared" si="3"/>
        <v>145</v>
      </c>
      <c r="AF26" s="211">
        <f t="shared" si="4"/>
        <v>6170.9999999999991</v>
      </c>
      <c r="AG26" s="210">
        <f t="shared" si="5"/>
        <v>0</v>
      </c>
      <c r="AH26" s="211">
        <f t="shared" si="6"/>
        <v>0</v>
      </c>
      <c r="AI26" s="210">
        <f t="shared" si="7"/>
        <v>0</v>
      </c>
      <c r="AJ26" s="211">
        <f t="shared" si="8"/>
        <v>70</v>
      </c>
      <c r="AK26" s="807">
        <f t="shared" si="9"/>
        <v>215</v>
      </c>
      <c r="AL26" s="801"/>
      <c r="AM26" s="196"/>
      <c r="AN26" s="196"/>
      <c r="AO26" s="196"/>
      <c r="AP26" s="195">
        <v>759</v>
      </c>
      <c r="AQ26" s="192">
        <f t="shared" si="10"/>
        <v>759</v>
      </c>
      <c r="AR26" s="210">
        <f t="shared" si="0"/>
        <v>6929.9999999999991</v>
      </c>
      <c r="AS26" s="703">
        <v>0</v>
      </c>
      <c r="AT26" s="664">
        <v>0</v>
      </c>
      <c r="AU26" s="708">
        <v>0</v>
      </c>
      <c r="AV26" s="705">
        <v>0</v>
      </c>
      <c r="AW26" s="697">
        <v>759</v>
      </c>
      <c r="AX26" s="708">
        <v>5524</v>
      </c>
      <c r="AY26" s="699">
        <v>0</v>
      </c>
      <c r="AZ26" s="413">
        <v>0</v>
      </c>
      <c r="BB26" s="717"/>
      <c r="BC26" s="717"/>
      <c r="BD26" s="667"/>
      <c r="BE26" s="436"/>
    </row>
    <row r="27" spans="1:57" ht="20.100000000000001" customHeight="1">
      <c r="A27" s="223">
        <v>14</v>
      </c>
      <c r="B27" s="231" t="s">
        <v>142</v>
      </c>
      <c r="C27" s="808">
        <v>530.4</v>
      </c>
      <c r="D27" s="662">
        <v>0</v>
      </c>
      <c r="E27" s="662">
        <v>0</v>
      </c>
      <c r="F27" s="662">
        <v>0</v>
      </c>
      <c r="G27" s="662">
        <v>0</v>
      </c>
      <c r="H27" s="662">
        <v>0</v>
      </c>
      <c r="I27" s="662">
        <v>94</v>
      </c>
      <c r="J27" s="662">
        <v>0</v>
      </c>
      <c r="K27" s="662">
        <v>0</v>
      </c>
      <c r="L27" s="662">
        <v>0</v>
      </c>
      <c r="M27" s="662">
        <v>0</v>
      </c>
      <c r="N27" s="192">
        <f t="shared" si="1"/>
        <v>94</v>
      </c>
      <c r="O27" s="192">
        <f t="shared" si="2"/>
        <v>624.4</v>
      </c>
      <c r="P27" s="192"/>
      <c r="Q27" s="192"/>
      <c r="R27" s="192"/>
      <c r="S27" s="192"/>
      <c r="T27" s="799">
        <v>0</v>
      </c>
      <c r="U27" s="662">
        <v>0</v>
      </c>
      <c r="V27" s="662">
        <v>0</v>
      </c>
      <c r="W27" s="662">
        <v>0</v>
      </c>
      <c r="X27" s="662">
        <v>0</v>
      </c>
      <c r="Y27" s="662">
        <v>0</v>
      </c>
      <c r="Z27" s="662">
        <v>0</v>
      </c>
      <c r="AA27" s="662">
        <v>0</v>
      </c>
      <c r="AB27" s="662">
        <v>0</v>
      </c>
      <c r="AC27" s="662">
        <v>0</v>
      </c>
      <c r="AD27" s="662">
        <v>0</v>
      </c>
      <c r="AE27" s="210">
        <f t="shared" si="3"/>
        <v>0</v>
      </c>
      <c r="AF27" s="211">
        <f t="shared" si="4"/>
        <v>624.4</v>
      </c>
      <c r="AG27" s="210">
        <f t="shared" si="5"/>
        <v>0</v>
      </c>
      <c r="AH27" s="211">
        <f t="shared" si="6"/>
        <v>0</v>
      </c>
      <c r="AI27" s="210">
        <f t="shared" si="7"/>
        <v>0</v>
      </c>
      <c r="AJ27" s="211">
        <f t="shared" si="8"/>
        <v>0</v>
      </c>
      <c r="AK27" s="807">
        <f t="shared" si="9"/>
        <v>0</v>
      </c>
      <c r="AL27" s="801"/>
      <c r="AM27" s="196"/>
      <c r="AN27" s="196"/>
      <c r="AO27" s="196"/>
      <c r="AP27" s="196"/>
      <c r="AQ27" s="192">
        <f t="shared" si="10"/>
        <v>0</v>
      </c>
      <c r="AR27" s="210">
        <f t="shared" si="0"/>
        <v>624.4</v>
      </c>
      <c r="AS27" s="703">
        <v>0</v>
      </c>
      <c r="AT27" s="664">
        <v>0</v>
      </c>
      <c r="AU27" s="708">
        <v>0</v>
      </c>
      <c r="AV27" s="705">
        <v>96</v>
      </c>
      <c r="AW27" s="697"/>
      <c r="AX27" s="708">
        <v>411</v>
      </c>
      <c r="AY27" s="699">
        <v>0</v>
      </c>
      <c r="AZ27" s="413">
        <v>0</v>
      </c>
      <c r="BB27" s="717"/>
      <c r="BC27" s="717"/>
      <c r="BD27" s="667"/>
    </row>
    <row r="28" spans="1:57" ht="20.100000000000001" customHeight="1">
      <c r="A28" s="223">
        <v>15</v>
      </c>
      <c r="B28" s="230" t="s">
        <v>295</v>
      </c>
      <c r="C28" s="808">
        <v>1389.8</v>
      </c>
      <c r="D28" s="203">
        <v>0</v>
      </c>
      <c r="E28" s="203">
        <v>0</v>
      </c>
      <c r="F28" s="203">
        <v>0</v>
      </c>
      <c r="G28" s="203">
        <v>0</v>
      </c>
      <c r="H28" s="203">
        <v>0</v>
      </c>
      <c r="I28" s="203">
        <v>0</v>
      </c>
      <c r="J28" s="203">
        <v>0</v>
      </c>
      <c r="K28" s="203">
        <v>0</v>
      </c>
      <c r="L28" s="203">
        <v>0</v>
      </c>
      <c r="M28" s="203">
        <v>0</v>
      </c>
      <c r="N28" s="192">
        <f t="shared" si="1"/>
        <v>0</v>
      </c>
      <c r="O28" s="192">
        <f t="shared" si="2"/>
        <v>1389.8</v>
      </c>
      <c r="P28" s="192"/>
      <c r="Q28" s="192"/>
      <c r="R28" s="192"/>
      <c r="S28" s="192"/>
      <c r="T28" s="799">
        <v>0</v>
      </c>
      <c r="U28" s="662">
        <v>0</v>
      </c>
      <c r="V28" s="662">
        <v>0</v>
      </c>
      <c r="W28" s="662">
        <v>0</v>
      </c>
      <c r="X28" s="662">
        <v>0</v>
      </c>
      <c r="Y28" s="662">
        <v>0</v>
      </c>
      <c r="Z28" s="662">
        <v>0</v>
      </c>
      <c r="AA28" s="662">
        <v>50</v>
      </c>
      <c r="AB28" s="662">
        <v>0</v>
      </c>
      <c r="AC28" s="662">
        <v>0</v>
      </c>
      <c r="AD28" s="662">
        <v>0</v>
      </c>
      <c r="AE28" s="210">
        <f t="shared" si="3"/>
        <v>50</v>
      </c>
      <c r="AF28" s="211">
        <f t="shared" si="4"/>
        <v>1439.8</v>
      </c>
      <c r="AG28" s="210">
        <f t="shared" si="5"/>
        <v>0</v>
      </c>
      <c r="AH28" s="211">
        <f t="shared" si="6"/>
        <v>0</v>
      </c>
      <c r="AI28" s="210">
        <f t="shared" si="7"/>
        <v>0</v>
      </c>
      <c r="AJ28" s="211">
        <f t="shared" si="8"/>
        <v>0</v>
      </c>
      <c r="AK28" s="807">
        <f t="shared" si="9"/>
        <v>50</v>
      </c>
      <c r="AL28" s="801"/>
      <c r="AM28" s="196"/>
      <c r="AN28" s="196"/>
      <c r="AO28" s="196"/>
      <c r="AP28" s="196"/>
      <c r="AQ28" s="192">
        <f t="shared" si="10"/>
        <v>0</v>
      </c>
      <c r="AR28" s="210">
        <f t="shared" si="0"/>
        <v>1439.8</v>
      </c>
      <c r="AS28" s="703">
        <v>0</v>
      </c>
      <c r="AT28" s="664">
        <v>0</v>
      </c>
      <c r="AU28" s="708">
        <v>0</v>
      </c>
      <c r="AV28" s="705">
        <v>0</v>
      </c>
      <c r="AW28" s="697"/>
      <c r="AX28" s="708">
        <v>1397</v>
      </c>
      <c r="AY28" s="699">
        <v>0</v>
      </c>
      <c r="AZ28" s="413">
        <v>0</v>
      </c>
      <c r="BB28" s="717"/>
      <c r="BC28" s="717"/>
      <c r="BD28" s="667"/>
      <c r="BE28" s="436"/>
    </row>
    <row r="29" spans="1:57" ht="24.95" customHeight="1">
      <c r="A29" s="223">
        <v>16</v>
      </c>
      <c r="B29" s="230" t="s">
        <v>74</v>
      </c>
      <c r="C29" s="808">
        <v>3219.4</v>
      </c>
      <c r="D29" s="662">
        <v>0</v>
      </c>
      <c r="E29" s="662">
        <v>0</v>
      </c>
      <c r="F29" s="662">
        <v>231</v>
      </c>
      <c r="G29" s="662">
        <v>0</v>
      </c>
      <c r="H29" s="662">
        <v>0</v>
      </c>
      <c r="I29" s="662">
        <v>0</v>
      </c>
      <c r="J29" s="662">
        <v>0</v>
      </c>
      <c r="K29" s="662">
        <v>0</v>
      </c>
      <c r="L29" s="662">
        <v>0</v>
      </c>
      <c r="M29" s="662">
        <v>0</v>
      </c>
      <c r="N29" s="192">
        <f t="shared" si="1"/>
        <v>231</v>
      </c>
      <c r="O29" s="192">
        <f t="shared" si="2"/>
        <v>3450.4</v>
      </c>
      <c r="P29" s="192"/>
      <c r="Q29" s="192"/>
      <c r="R29" s="192"/>
      <c r="S29" s="192"/>
      <c r="T29" s="799">
        <v>50</v>
      </c>
      <c r="U29" s="662">
        <v>0</v>
      </c>
      <c r="V29" s="662">
        <v>0</v>
      </c>
      <c r="W29" s="662">
        <v>0</v>
      </c>
      <c r="X29" s="662">
        <v>0</v>
      </c>
      <c r="Y29" s="662">
        <v>0</v>
      </c>
      <c r="Z29" s="662">
        <v>20</v>
      </c>
      <c r="AA29" s="662">
        <v>0</v>
      </c>
      <c r="AB29" s="662">
        <v>50</v>
      </c>
      <c r="AC29" s="662">
        <v>27</v>
      </c>
      <c r="AD29" s="662">
        <v>0</v>
      </c>
      <c r="AE29" s="210">
        <f t="shared" si="3"/>
        <v>147</v>
      </c>
      <c r="AF29" s="211">
        <f t="shared" si="4"/>
        <v>3597.4</v>
      </c>
      <c r="AG29" s="210">
        <f t="shared" si="5"/>
        <v>0</v>
      </c>
      <c r="AH29" s="211">
        <f t="shared" si="6"/>
        <v>0</v>
      </c>
      <c r="AI29" s="210">
        <f t="shared" si="7"/>
        <v>0</v>
      </c>
      <c r="AJ29" s="211">
        <f t="shared" si="8"/>
        <v>0</v>
      </c>
      <c r="AK29" s="807">
        <f t="shared" si="9"/>
        <v>97</v>
      </c>
      <c r="AL29" s="801"/>
      <c r="AM29" s="196"/>
      <c r="AN29" s="196"/>
      <c r="AO29" s="196"/>
      <c r="AP29" s="196"/>
      <c r="AQ29" s="192">
        <f t="shared" si="10"/>
        <v>0</v>
      </c>
      <c r="AR29" s="210">
        <f t="shared" si="0"/>
        <v>3597.4</v>
      </c>
      <c r="AS29" s="703">
        <v>294</v>
      </c>
      <c r="AT29" s="664">
        <v>0</v>
      </c>
      <c r="AU29" s="708">
        <v>0</v>
      </c>
      <c r="AV29" s="705">
        <v>0</v>
      </c>
      <c r="AW29" s="697"/>
      <c r="AX29" s="708">
        <v>2266</v>
      </c>
      <c r="AY29" s="699">
        <v>0</v>
      </c>
      <c r="AZ29" s="413">
        <v>0</v>
      </c>
      <c r="BB29" s="717"/>
      <c r="BC29" s="717"/>
      <c r="BD29" s="667"/>
    </row>
    <row r="30" spans="1:57" ht="20.100000000000001" customHeight="1">
      <c r="A30" s="223">
        <v>17</v>
      </c>
      <c r="B30" s="230" t="s">
        <v>75</v>
      </c>
      <c r="C30" s="808">
        <v>4674</v>
      </c>
      <c r="D30" s="662">
        <v>0</v>
      </c>
      <c r="E30" s="662">
        <v>0</v>
      </c>
      <c r="F30" s="662">
        <v>0</v>
      </c>
      <c r="G30" s="662">
        <v>0</v>
      </c>
      <c r="H30" s="662">
        <v>152.4</v>
      </c>
      <c r="I30" s="662">
        <v>0</v>
      </c>
      <c r="J30" s="662">
        <v>0</v>
      </c>
      <c r="K30" s="662">
        <v>0</v>
      </c>
      <c r="L30" s="662">
        <v>0</v>
      </c>
      <c r="M30" s="662">
        <v>0</v>
      </c>
      <c r="N30" s="192">
        <f t="shared" si="1"/>
        <v>152.4</v>
      </c>
      <c r="O30" s="192">
        <f t="shared" si="2"/>
        <v>4826.3999999999996</v>
      </c>
      <c r="P30" s="192"/>
      <c r="Q30" s="192"/>
      <c r="R30" s="192"/>
      <c r="S30" s="192"/>
      <c r="T30" s="799">
        <v>0</v>
      </c>
      <c r="U30" s="662">
        <v>0</v>
      </c>
      <c r="V30" s="662">
        <v>0</v>
      </c>
      <c r="W30" s="662">
        <v>0</v>
      </c>
      <c r="X30" s="662">
        <v>0</v>
      </c>
      <c r="Y30" s="662">
        <v>0</v>
      </c>
      <c r="Z30" s="662">
        <v>125</v>
      </c>
      <c r="AA30" s="662">
        <v>55</v>
      </c>
      <c r="AB30" s="662">
        <v>0</v>
      </c>
      <c r="AC30" s="662">
        <v>42</v>
      </c>
      <c r="AD30" s="662">
        <v>0</v>
      </c>
      <c r="AE30" s="210">
        <f t="shared" si="3"/>
        <v>222</v>
      </c>
      <c r="AF30" s="211">
        <f t="shared" si="4"/>
        <v>5048.3999999999996</v>
      </c>
      <c r="AG30" s="210">
        <f t="shared" si="5"/>
        <v>0</v>
      </c>
      <c r="AH30" s="211">
        <f t="shared" si="6"/>
        <v>0</v>
      </c>
      <c r="AI30" s="210">
        <f t="shared" si="7"/>
        <v>0</v>
      </c>
      <c r="AJ30" s="211">
        <f t="shared" si="8"/>
        <v>0</v>
      </c>
      <c r="AK30" s="807">
        <f t="shared" si="9"/>
        <v>222</v>
      </c>
      <c r="AL30" s="801"/>
      <c r="AM30" s="196"/>
      <c r="AN30" s="196"/>
      <c r="AO30" s="196"/>
      <c r="AP30" s="195">
        <v>945</v>
      </c>
      <c r="AQ30" s="192">
        <f t="shared" si="10"/>
        <v>945</v>
      </c>
      <c r="AR30" s="210">
        <f t="shared" si="0"/>
        <v>5993.4</v>
      </c>
      <c r="AS30" s="703">
        <v>0</v>
      </c>
      <c r="AT30" s="664">
        <v>0</v>
      </c>
      <c r="AU30" s="708">
        <v>157</v>
      </c>
      <c r="AV30" s="705">
        <v>0</v>
      </c>
      <c r="AW30" s="697">
        <v>945</v>
      </c>
      <c r="AX30" s="708">
        <v>4168</v>
      </c>
      <c r="AY30" s="699">
        <v>0</v>
      </c>
      <c r="AZ30" s="413">
        <v>0</v>
      </c>
      <c r="BB30" s="717"/>
      <c r="BC30" s="717"/>
      <c r="BD30" s="667"/>
      <c r="BE30" s="436"/>
    </row>
    <row r="31" spans="1:57" ht="20.100000000000001" customHeight="1">
      <c r="A31" s="223">
        <v>18</v>
      </c>
      <c r="B31" s="230" t="s">
        <v>76</v>
      </c>
      <c r="C31" s="808">
        <v>10548.7</v>
      </c>
      <c r="D31" s="662">
        <v>0</v>
      </c>
      <c r="E31" s="662">
        <v>0</v>
      </c>
      <c r="F31" s="662">
        <v>0</v>
      </c>
      <c r="G31" s="662">
        <v>0</v>
      </c>
      <c r="H31" s="662">
        <v>521.9</v>
      </c>
      <c r="I31" s="662">
        <v>0</v>
      </c>
      <c r="J31" s="662">
        <v>0</v>
      </c>
      <c r="K31" s="662">
        <v>0</v>
      </c>
      <c r="L31" s="662">
        <v>133</v>
      </c>
      <c r="M31" s="662">
        <v>328.2</v>
      </c>
      <c r="N31" s="192">
        <f t="shared" si="1"/>
        <v>983.09999999999991</v>
      </c>
      <c r="O31" s="192">
        <f t="shared" si="2"/>
        <v>11531.800000000001</v>
      </c>
      <c r="P31" s="192"/>
      <c r="Q31" s="192"/>
      <c r="R31" s="192"/>
      <c r="S31" s="192"/>
      <c r="T31" s="799">
        <v>37.5</v>
      </c>
      <c r="U31" s="662">
        <v>0</v>
      </c>
      <c r="V31" s="662">
        <v>0</v>
      </c>
      <c r="W31" s="662">
        <v>0</v>
      </c>
      <c r="X31" s="662">
        <v>0</v>
      </c>
      <c r="Y31" s="662">
        <v>0</v>
      </c>
      <c r="Z31" s="662">
        <v>40</v>
      </c>
      <c r="AA31" s="662">
        <v>80</v>
      </c>
      <c r="AB31" s="662">
        <v>25</v>
      </c>
      <c r="AC31" s="662">
        <v>85</v>
      </c>
      <c r="AD31" s="662">
        <v>0</v>
      </c>
      <c r="AE31" s="210">
        <f t="shared" si="3"/>
        <v>267.5</v>
      </c>
      <c r="AF31" s="211">
        <f t="shared" si="4"/>
        <v>11799.300000000001</v>
      </c>
      <c r="AG31" s="210">
        <f t="shared" si="5"/>
        <v>0</v>
      </c>
      <c r="AH31" s="211">
        <f t="shared" si="6"/>
        <v>0</v>
      </c>
      <c r="AI31" s="210">
        <f t="shared" si="7"/>
        <v>0</v>
      </c>
      <c r="AJ31" s="211">
        <f t="shared" si="8"/>
        <v>0</v>
      </c>
      <c r="AK31" s="807">
        <f t="shared" si="9"/>
        <v>230</v>
      </c>
      <c r="AL31" s="801"/>
      <c r="AM31" s="196"/>
      <c r="AN31" s="195">
        <v>171</v>
      </c>
      <c r="AO31" s="195">
        <v>37</v>
      </c>
      <c r="AP31" s="196"/>
      <c r="AQ31" s="192">
        <f t="shared" si="10"/>
        <v>208</v>
      </c>
      <c r="AR31" s="210">
        <f t="shared" si="0"/>
        <v>12007.300000000001</v>
      </c>
      <c r="AS31" s="703">
        <v>0</v>
      </c>
      <c r="AT31" s="664">
        <v>0</v>
      </c>
      <c r="AU31" s="708">
        <v>832</v>
      </c>
      <c r="AV31" s="705">
        <v>378</v>
      </c>
      <c r="AW31" s="697"/>
      <c r="AX31" s="708">
        <v>9735</v>
      </c>
      <c r="AY31" s="699">
        <v>0</v>
      </c>
      <c r="AZ31" s="413">
        <v>0</v>
      </c>
      <c r="BB31" s="717"/>
      <c r="BC31" s="717"/>
      <c r="BD31" s="667"/>
    </row>
    <row r="32" spans="1:57" ht="20.100000000000001" customHeight="1">
      <c r="A32" s="223">
        <v>19</v>
      </c>
      <c r="B32" s="230" t="s">
        <v>85</v>
      </c>
      <c r="C32" s="808">
        <v>7402.8</v>
      </c>
      <c r="D32" s="662">
        <v>0</v>
      </c>
      <c r="E32" s="662">
        <v>0</v>
      </c>
      <c r="F32" s="662">
        <v>0</v>
      </c>
      <c r="G32" s="662">
        <v>0</v>
      </c>
      <c r="H32" s="662">
        <v>268.10000000000002</v>
      </c>
      <c r="I32" s="662">
        <v>0</v>
      </c>
      <c r="J32" s="662">
        <v>0</v>
      </c>
      <c r="K32" s="662">
        <v>0</v>
      </c>
      <c r="L32" s="662">
        <v>34</v>
      </c>
      <c r="M32" s="662">
        <v>48</v>
      </c>
      <c r="N32" s="192">
        <f t="shared" si="1"/>
        <v>350.1</v>
      </c>
      <c r="O32" s="192">
        <f t="shared" si="2"/>
        <v>7752.9000000000005</v>
      </c>
      <c r="P32" s="192">
        <v>75</v>
      </c>
      <c r="Q32" s="192"/>
      <c r="R32" s="192">
        <v>30</v>
      </c>
      <c r="S32" s="192"/>
      <c r="T32" s="799">
        <v>0</v>
      </c>
      <c r="U32" s="662">
        <v>35</v>
      </c>
      <c r="V32" s="662">
        <v>0</v>
      </c>
      <c r="W32" s="662">
        <v>30</v>
      </c>
      <c r="X32" s="662">
        <v>0</v>
      </c>
      <c r="Y32" s="662">
        <v>0</v>
      </c>
      <c r="Z32" s="662">
        <v>0</v>
      </c>
      <c r="AA32" s="662">
        <v>200</v>
      </c>
      <c r="AB32" s="662">
        <v>0</v>
      </c>
      <c r="AC32" s="662">
        <v>25</v>
      </c>
      <c r="AD32" s="662">
        <v>0</v>
      </c>
      <c r="AE32" s="210">
        <f t="shared" si="3"/>
        <v>290</v>
      </c>
      <c r="AF32" s="211">
        <f t="shared" si="4"/>
        <v>8042.9000000000005</v>
      </c>
      <c r="AG32" s="210">
        <f t="shared" si="5"/>
        <v>110</v>
      </c>
      <c r="AH32" s="211">
        <f t="shared" si="6"/>
        <v>0</v>
      </c>
      <c r="AI32" s="210">
        <f t="shared" si="7"/>
        <v>60</v>
      </c>
      <c r="AJ32" s="211">
        <f t="shared" si="8"/>
        <v>0</v>
      </c>
      <c r="AK32" s="807">
        <f t="shared" si="9"/>
        <v>395</v>
      </c>
      <c r="AL32" s="801"/>
      <c r="AM32" s="196"/>
      <c r="AN32" s="195">
        <v>50</v>
      </c>
      <c r="AO32" s="195">
        <v>5</v>
      </c>
      <c r="AP32" s="195">
        <v>2163</v>
      </c>
      <c r="AQ32" s="192">
        <f t="shared" si="10"/>
        <v>2218</v>
      </c>
      <c r="AR32" s="210">
        <f t="shared" si="0"/>
        <v>10260.900000000001</v>
      </c>
      <c r="AS32" s="703">
        <v>0</v>
      </c>
      <c r="AT32" s="664">
        <v>0</v>
      </c>
      <c r="AU32" s="708">
        <v>353</v>
      </c>
      <c r="AV32" s="705">
        <v>53</v>
      </c>
      <c r="AW32" s="697">
        <v>2163</v>
      </c>
      <c r="AX32" s="708">
        <v>7326</v>
      </c>
      <c r="AY32" s="699">
        <v>0</v>
      </c>
      <c r="AZ32" s="413">
        <v>0</v>
      </c>
      <c r="BB32" s="717"/>
      <c r="BC32" s="717"/>
      <c r="BD32" s="667"/>
      <c r="BE32" s="436"/>
    </row>
    <row r="33" spans="1:57" ht="30" customHeight="1" thickBot="1">
      <c r="A33" s="224"/>
      <c r="B33" s="232" t="s">
        <v>2</v>
      </c>
      <c r="C33" s="809">
        <v>104870</v>
      </c>
      <c r="D33" s="663">
        <v>2143.1999999999998</v>
      </c>
      <c r="E33" s="663">
        <v>491</v>
      </c>
      <c r="F33" s="663">
        <v>1156.0999999999999</v>
      </c>
      <c r="G33" s="663">
        <v>97.9</v>
      </c>
      <c r="H33" s="663">
        <v>2472</v>
      </c>
      <c r="I33" s="663">
        <v>169.4</v>
      </c>
      <c r="J33" s="663">
        <v>368.9</v>
      </c>
      <c r="K33" s="663">
        <v>113</v>
      </c>
      <c r="L33" s="663">
        <v>392</v>
      </c>
      <c r="M33" s="663">
        <v>769.8</v>
      </c>
      <c r="N33" s="193">
        <f t="shared" si="1"/>
        <v>8173.2999999999993</v>
      </c>
      <c r="O33" s="193">
        <f t="shared" si="2"/>
        <v>113043.3</v>
      </c>
      <c r="P33" s="193">
        <v>114.8</v>
      </c>
      <c r="Q33" s="193">
        <v>12</v>
      </c>
      <c r="R33" s="193">
        <v>30</v>
      </c>
      <c r="S33" s="193">
        <v>70</v>
      </c>
      <c r="T33" s="845">
        <v>300</v>
      </c>
      <c r="U33" s="663">
        <v>50</v>
      </c>
      <c r="V33" s="663">
        <v>200</v>
      </c>
      <c r="W33" s="663">
        <v>30</v>
      </c>
      <c r="X33" s="663">
        <v>12</v>
      </c>
      <c r="Y33" s="663">
        <v>10</v>
      </c>
      <c r="Z33" s="663">
        <v>727</v>
      </c>
      <c r="AA33" s="663">
        <v>1020</v>
      </c>
      <c r="AB33" s="663">
        <v>342</v>
      </c>
      <c r="AC33" s="663">
        <v>815</v>
      </c>
      <c r="AD33" s="663">
        <v>-20</v>
      </c>
      <c r="AE33" s="205">
        <f t="shared" ref="AE33" si="11">SUM(AE15:AE32)</f>
        <v>3242.5</v>
      </c>
      <c r="AF33" s="205">
        <f>SUM(AF14:AF32)</f>
        <v>116529.3</v>
      </c>
      <c r="AG33" s="205">
        <f t="shared" si="5"/>
        <v>164.8</v>
      </c>
      <c r="AH33" s="205">
        <f>Q33+X33</f>
        <v>24</v>
      </c>
      <c r="AI33" s="205">
        <f t="shared" si="7"/>
        <v>60</v>
      </c>
      <c r="AJ33" s="847">
        <f t="shared" si="8"/>
        <v>80</v>
      </c>
      <c r="AK33" s="810">
        <f t="shared" si="9"/>
        <v>3232.8</v>
      </c>
      <c r="AL33" s="802">
        <v>165</v>
      </c>
      <c r="AM33" s="193">
        <v>120</v>
      </c>
      <c r="AN33" s="193">
        <v>570</v>
      </c>
      <c r="AO33" s="193">
        <v>100</v>
      </c>
      <c r="AP33" s="193">
        <v>7862</v>
      </c>
      <c r="AQ33" s="193">
        <f>SUM(AQ14:AQ32)</f>
        <v>8817</v>
      </c>
      <c r="AR33" s="205">
        <f>SUM(AR14:AR32)</f>
        <v>125346.30000000002</v>
      </c>
      <c r="AS33" s="411">
        <v>3960</v>
      </c>
      <c r="AT33" s="374">
        <v>772</v>
      </c>
      <c r="AU33" s="704">
        <v>3485</v>
      </c>
      <c r="AV33" s="706">
        <v>1582</v>
      </c>
      <c r="AW33" s="698">
        <v>7862</v>
      </c>
      <c r="AX33" s="374">
        <v>89805</v>
      </c>
      <c r="AY33" s="700">
        <f>SUM(AY14:AY32)</f>
        <v>64</v>
      </c>
      <c r="AZ33" s="414">
        <v>17</v>
      </c>
      <c r="BB33" s="717"/>
      <c r="BC33" s="717"/>
      <c r="BD33" s="667"/>
      <c r="BE33" s="436"/>
    </row>
    <row r="34" spans="1:57" s="208" customFormat="1" ht="24.95" customHeight="1">
      <c r="B34" s="206" t="s">
        <v>143</v>
      </c>
      <c r="C34" s="207">
        <f>SUM(C14:C32)</f>
        <v>104870</v>
      </c>
      <c r="D34" s="207">
        <f>SUM(D14:D32)</f>
        <v>2143.1999999999998</v>
      </c>
      <c r="E34" s="207">
        <f t="shared" ref="E34:AM34" si="12">SUM(E14:E32)</f>
        <v>491</v>
      </c>
      <c r="F34" s="207">
        <f t="shared" si="12"/>
        <v>1156.0999999999999</v>
      </c>
      <c r="G34" s="207">
        <f t="shared" si="12"/>
        <v>97.9</v>
      </c>
      <c r="H34" s="207">
        <f t="shared" si="12"/>
        <v>2472</v>
      </c>
      <c r="I34" s="207">
        <f t="shared" si="12"/>
        <v>169.4</v>
      </c>
      <c r="J34" s="207">
        <f t="shared" si="12"/>
        <v>368.9</v>
      </c>
      <c r="K34" s="207">
        <f t="shared" si="12"/>
        <v>113</v>
      </c>
      <c r="L34" s="207">
        <f t="shared" si="12"/>
        <v>392</v>
      </c>
      <c r="M34" s="207">
        <f t="shared" si="12"/>
        <v>769.8</v>
      </c>
      <c r="N34" s="207">
        <f t="shared" si="12"/>
        <v>8173.3000000000011</v>
      </c>
      <c r="O34" s="207">
        <f t="shared" si="12"/>
        <v>113043.3</v>
      </c>
      <c r="P34" s="207">
        <f t="shared" si="12"/>
        <v>114.8</v>
      </c>
      <c r="Q34" s="207">
        <f t="shared" si="12"/>
        <v>12</v>
      </c>
      <c r="R34" s="207">
        <f t="shared" si="12"/>
        <v>30</v>
      </c>
      <c r="S34" s="207">
        <f t="shared" si="12"/>
        <v>70</v>
      </c>
      <c r="T34" s="207">
        <f t="shared" si="12"/>
        <v>300</v>
      </c>
      <c r="U34" s="207">
        <f t="shared" si="12"/>
        <v>50</v>
      </c>
      <c r="V34" s="207">
        <f t="shared" si="12"/>
        <v>200</v>
      </c>
      <c r="W34" s="207">
        <f t="shared" si="12"/>
        <v>30</v>
      </c>
      <c r="X34" s="207">
        <f t="shared" si="12"/>
        <v>12</v>
      </c>
      <c r="Y34" s="207">
        <f t="shared" si="12"/>
        <v>10</v>
      </c>
      <c r="Z34" s="207">
        <f t="shared" si="12"/>
        <v>727</v>
      </c>
      <c r="AA34" s="207">
        <f t="shared" si="12"/>
        <v>1020</v>
      </c>
      <c r="AB34" s="207">
        <f t="shared" si="12"/>
        <v>342</v>
      </c>
      <c r="AC34" s="207">
        <f t="shared" si="12"/>
        <v>815</v>
      </c>
      <c r="AD34" s="207">
        <f t="shared" si="12"/>
        <v>-20</v>
      </c>
      <c r="AE34" s="207">
        <f t="shared" si="12"/>
        <v>3486</v>
      </c>
      <c r="AF34" s="207">
        <f t="shared" si="12"/>
        <v>116529.3</v>
      </c>
      <c r="AG34" s="207">
        <f t="shared" si="12"/>
        <v>164.8</v>
      </c>
      <c r="AH34" s="207">
        <f t="shared" si="12"/>
        <v>24</v>
      </c>
      <c r="AI34" s="207">
        <f t="shared" si="12"/>
        <v>60</v>
      </c>
      <c r="AJ34" s="207">
        <f t="shared" si="12"/>
        <v>80</v>
      </c>
      <c r="AK34" s="207">
        <f t="shared" si="12"/>
        <v>3232.8</v>
      </c>
      <c r="AL34" s="207">
        <f t="shared" si="12"/>
        <v>165</v>
      </c>
      <c r="AM34" s="207">
        <f t="shared" si="12"/>
        <v>120</v>
      </c>
      <c r="AN34" s="207">
        <f>SUM(AN14:AN32)</f>
        <v>570</v>
      </c>
      <c r="AO34" s="207">
        <f>SUM(AO14:AO32)</f>
        <v>100</v>
      </c>
      <c r="AP34" s="207">
        <f>SUM(AP14:AP32)</f>
        <v>7862</v>
      </c>
      <c r="AQ34" s="207">
        <f>SUM(AP14:AQ32)</f>
        <v>16679</v>
      </c>
      <c r="AR34" s="207">
        <f t="shared" ref="AR34:AZ34" si="13">SUM(AR14:AR32)</f>
        <v>125346.30000000002</v>
      </c>
      <c r="AS34" s="716">
        <f t="shared" si="13"/>
        <v>3960</v>
      </c>
      <c r="AT34" s="716">
        <f t="shared" si="13"/>
        <v>772</v>
      </c>
      <c r="AU34" s="716">
        <f t="shared" si="13"/>
        <v>3485</v>
      </c>
      <c r="AV34" s="716">
        <f t="shared" si="13"/>
        <v>1582</v>
      </c>
      <c r="AW34" s="716">
        <f t="shared" si="13"/>
        <v>7862</v>
      </c>
      <c r="AX34" s="716">
        <f t="shared" si="13"/>
        <v>89805</v>
      </c>
      <c r="AY34" s="716">
        <f t="shared" si="13"/>
        <v>64</v>
      </c>
      <c r="AZ34" s="716">
        <f t="shared" si="13"/>
        <v>17</v>
      </c>
      <c r="BE34" s="436"/>
    </row>
    <row r="35" spans="1:57">
      <c r="AW35" s="667"/>
      <c r="BE35" s="436"/>
    </row>
    <row r="36" spans="1:57" ht="20.100000000000001" customHeight="1">
      <c r="A36" s="796" t="s">
        <v>174</v>
      </c>
      <c r="C36" s="1"/>
      <c r="D36" s="709"/>
      <c r="E36" s="709"/>
      <c r="F36" s="709"/>
      <c r="G36" s="709"/>
      <c r="H36" s="709"/>
      <c r="I36" s="709"/>
      <c r="J36" s="709"/>
      <c r="K36" s="709"/>
      <c r="L36" s="709"/>
      <c r="M36" s="709"/>
      <c r="N36" s="710"/>
      <c r="O36" s="1"/>
      <c r="P36" s="1"/>
      <c r="Q36" s="1"/>
      <c r="R36" s="1"/>
      <c r="S36" s="1"/>
      <c r="T36" s="711"/>
      <c r="U36" s="711"/>
      <c r="V36" s="711"/>
      <c r="W36" s="712"/>
      <c r="X36" s="712"/>
      <c r="Y36" s="712"/>
      <c r="Z36" s="712"/>
      <c r="AA36" s="712"/>
      <c r="AB36" s="712"/>
      <c r="AC36" s="712"/>
      <c r="AD36" s="712"/>
    </row>
    <row r="37" spans="1:57">
      <c r="B37" s="216"/>
      <c r="C37" s="1"/>
      <c r="D37" s="217"/>
      <c r="E37" s="217"/>
      <c r="F37" s="217"/>
      <c r="G37" s="1"/>
      <c r="H37" s="1"/>
      <c r="I37" s="217"/>
      <c r="J37" s="217"/>
      <c r="K37" s="217"/>
      <c r="L37" s="215"/>
      <c r="M37" s="1"/>
      <c r="N37" s="710"/>
      <c r="O37" s="1"/>
      <c r="P37" s="1"/>
      <c r="Q37" s="1"/>
      <c r="R37" s="1"/>
      <c r="S37" s="1"/>
      <c r="T37" s="713"/>
      <c r="U37" s="713"/>
      <c r="V37" s="713"/>
      <c r="W37" s="713"/>
      <c r="X37" s="713"/>
      <c r="Y37" s="713"/>
      <c r="Z37" s="713"/>
      <c r="AA37" s="713"/>
      <c r="AB37" s="713"/>
      <c r="AC37" s="713"/>
      <c r="AD37" s="713"/>
      <c r="BE37" s="436"/>
    </row>
    <row r="38" spans="1:57">
      <c r="A38" s="371" t="s">
        <v>181</v>
      </c>
      <c r="B38" s="216"/>
      <c r="C38" s="1"/>
      <c r="E38" s="217"/>
      <c r="F38" s="217"/>
      <c r="G38" s="1"/>
      <c r="H38" s="1"/>
      <c r="I38" s="217"/>
      <c r="J38" s="217"/>
      <c r="K38" s="217"/>
      <c r="L38" s="215"/>
      <c r="M38" s="1"/>
      <c r="N38" s="710"/>
      <c r="O38" s="1"/>
      <c r="P38" s="1"/>
      <c r="Q38" s="1"/>
      <c r="R38" s="1"/>
      <c r="S38" s="1"/>
      <c r="T38" s="217"/>
      <c r="U38" s="217"/>
      <c r="V38" s="217"/>
    </row>
    <row r="39" spans="1:57" ht="20.100000000000001" customHeight="1">
      <c r="A39" s="370">
        <v>1</v>
      </c>
      <c r="B39" s="372">
        <v>2</v>
      </c>
      <c r="C39" s="370">
        <v>3</v>
      </c>
      <c r="D39" s="372">
        <v>4</v>
      </c>
      <c r="E39" s="370">
        <v>5</v>
      </c>
      <c r="F39" s="372">
        <v>6</v>
      </c>
      <c r="G39" s="370">
        <v>7</v>
      </c>
      <c r="H39" s="372">
        <v>8</v>
      </c>
      <c r="I39" s="370">
        <v>9</v>
      </c>
      <c r="J39" s="372">
        <v>10</v>
      </c>
      <c r="K39" s="370">
        <v>11</v>
      </c>
      <c r="L39" s="372">
        <v>12</v>
      </c>
      <c r="M39" s="370">
        <v>13</v>
      </c>
      <c r="N39" s="372">
        <v>14</v>
      </c>
      <c r="O39" s="370">
        <v>15</v>
      </c>
      <c r="P39" s="1"/>
      <c r="Q39" s="1"/>
      <c r="R39" s="1"/>
      <c r="S39" s="1"/>
      <c r="T39" s="217"/>
      <c r="U39" s="217"/>
      <c r="V39" s="217"/>
    </row>
    <row r="40" spans="1:57" ht="16.5" thickBot="1">
      <c r="B40" s="216"/>
      <c r="C40" s="1"/>
      <c r="D40" s="217"/>
      <c r="E40" s="217"/>
      <c r="F40" s="217"/>
      <c r="G40" s="1"/>
      <c r="H40" s="1"/>
      <c r="K40" s="217"/>
      <c r="L40" s="215"/>
      <c r="M40" s="1"/>
      <c r="N40" s="217"/>
      <c r="O40" s="217"/>
      <c r="P40" s="1"/>
      <c r="Q40" s="1"/>
      <c r="R40" s="1"/>
      <c r="S40" s="1"/>
      <c r="T40" s="217"/>
      <c r="U40" s="217"/>
      <c r="V40" s="217"/>
    </row>
    <row r="41" spans="1:57" ht="60" customHeight="1">
      <c r="A41" s="221"/>
      <c r="B41" s="422"/>
      <c r="C41" s="1322" t="s">
        <v>231</v>
      </c>
      <c r="D41" s="1323"/>
      <c r="E41" s="1323"/>
      <c r="F41" s="1323"/>
      <c r="G41" s="1323"/>
      <c r="H41" s="1323"/>
      <c r="I41" s="1323"/>
      <c r="J41" s="1323"/>
      <c r="K41" s="1323"/>
      <c r="L41" s="1323"/>
      <c r="M41" s="1324"/>
      <c r="N41" s="1350" t="s">
        <v>385</v>
      </c>
      <c r="O41" s="1351"/>
      <c r="P41" s="1"/>
      <c r="Q41" s="1"/>
      <c r="R41" s="1"/>
      <c r="S41" s="1"/>
      <c r="T41" s="217"/>
      <c r="U41" s="217"/>
      <c r="V41" s="217"/>
    </row>
    <row r="42" spans="1:57" ht="30" customHeight="1">
      <c r="A42" s="446"/>
      <c r="B42" s="431"/>
      <c r="C42" s="550" t="s">
        <v>232</v>
      </c>
      <c r="D42" s="550" t="s">
        <v>233</v>
      </c>
      <c r="E42" s="550" t="s">
        <v>234</v>
      </c>
      <c r="F42" s="551">
        <v>3</v>
      </c>
      <c r="G42" s="551">
        <v>4</v>
      </c>
      <c r="H42" s="552">
        <v>5</v>
      </c>
      <c r="I42" s="552" t="s">
        <v>341</v>
      </c>
      <c r="J42" s="552" t="s">
        <v>342</v>
      </c>
      <c r="K42" s="552" t="s">
        <v>343</v>
      </c>
      <c r="L42" s="552" t="s">
        <v>344</v>
      </c>
      <c r="M42" s="552" t="s">
        <v>345</v>
      </c>
      <c r="N42" s="553" t="s">
        <v>64</v>
      </c>
      <c r="O42" s="554" t="s">
        <v>49</v>
      </c>
      <c r="P42" s="1"/>
      <c r="Q42" s="1"/>
      <c r="R42" s="1"/>
      <c r="S42" s="1"/>
      <c r="T42" s="217"/>
      <c r="U42" s="217"/>
      <c r="V42" s="217"/>
    </row>
    <row r="43" spans="1:57" ht="20.100000000000001" customHeight="1">
      <c r="A43" s="223">
        <v>1</v>
      </c>
      <c r="B43" s="260" t="s">
        <v>65</v>
      </c>
      <c r="C43" s="218">
        <v>1</v>
      </c>
      <c r="D43" s="218">
        <v>1</v>
      </c>
      <c r="E43" s="218">
        <v>0</v>
      </c>
      <c r="F43" s="218">
        <v>2</v>
      </c>
      <c r="G43" s="218">
        <v>0</v>
      </c>
      <c r="H43" s="839">
        <f>IF(SUM(I43:M43)&gt;0,1,0)</f>
        <v>1</v>
      </c>
      <c r="I43" s="834">
        <f>IF(OR(Z14&gt;0,AJ14&gt;0,W14&gt;0,AH14&gt;0),1,0)</f>
        <v>1</v>
      </c>
      <c r="J43" s="836">
        <f>IF(AB14&gt;0,1,0)</f>
        <v>1</v>
      </c>
      <c r="K43" s="836">
        <f>IF(AC14&gt;0,1,0)</f>
        <v>1</v>
      </c>
      <c r="L43" s="836">
        <f>IF(AA14&gt;0,1,0)</f>
        <v>1</v>
      </c>
      <c r="M43" s="836">
        <f>IF(AG14&gt;0,1,0)</f>
        <v>0</v>
      </c>
      <c r="N43" s="448">
        <v>3</v>
      </c>
      <c r="O43" s="447">
        <v>4</v>
      </c>
      <c r="P43" s="1"/>
      <c r="Q43" s="1"/>
      <c r="R43" s="1"/>
      <c r="S43" s="1"/>
      <c r="T43" s="217"/>
      <c r="U43" s="217"/>
      <c r="V43" s="217"/>
    </row>
    <row r="44" spans="1:57" ht="20.100000000000001" customHeight="1">
      <c r="A44" s="223">
        <v>2</v>
      </c>
      <c r="B44" s="260" t="s">
        <v>66</v>
      </c>
      <c r="C44" s="218">
        <v>0</v>
      </c>
      <c r="D44" s="218">
        <v>0</v>
      </c>
      <c r="E44" s="218">
        <v>0</v>
      </c>
      <c r="F44" s="218">
        <v>0</v>
      </c>
      <c r="G44" s="218">
        <v>0</v>
      </c>
      <c r="H44" s="218">
        <f t="shared" ref="H44:H62" si="14">IF(SUM(I44:M44)&gt;0,1,0)</f>
        <v>1</v>
      </c>
      <c r="I44" s="834">
        <f t="shared" ref="I44:I62" si="15">IF(OR(Z15&gt;0,AJ15&gt;0,W15&gt;0,AH15&gt;0),1,0)</f>
        <v>0</v>
      </c>
      <c r="J44" s="837">
        <f t="shared" ref="J44:J62" si="16">IF(AB15&gt;0,1,0)</f>
        <v>1</v>
      </c>
      <c r="K44" s="837">
        <f t="shared" ref="K44:K62" si="17">IF(AC15&gt;0,1,0)</f>
        <v>1</v>
      </c>
      <c r="L44" s="837">
        <f t="shared" ref="L44:L62" si="18">IF(AA15&gt;0,1,0)</f>
        <v>1</v>
      </c>
      <c r="M44" s="837">
        <f t="shared" ref="M44:M62" si="19">IF(AG15&gt;0,1,0)</f>
        <v>0</v>
      </c>
      <c r="N44" s="448">
        <v>5</v>
      </c>
      <c r="O44" s="447">
        <v>6</v>
      </c>
      <c r="P44" s="1"/>
      <c r="Q44" s="1"/>
      <c r="R44" s="1"/>
      <c r="S44" s="1"/>
      <c r="T44" s="217"/>
      <c r="U44" s="217"/>
      <c r="V44" s="217"/>
    </row>
    <row r="45" spans="1:57" ht="20.100000000000001" customHeight="1">
      <c r="A45" s="223">
        <v>3</v>
      </c>
      <c r="B45" s="260" t="s">
        <v>67</v>
      </c>
      <c r="C45" s="218">
        <v>1</v>
      </c>
      <c r="D45" s="218">
        <v>1</v>
      </c>
      <c r="E45" s="218">
        <v>0</v>
      </c>
      <c r="F45" s="218">
        <v>1</v>
      </c>
      <c r="G45" s="218">
        <v>1</v>
      </c>
      <c r="H45" s="218">
        <f t="shared" si="14"/>
        <v>1</v>
      </c>
      <c r="I45" s="834">
        <f t="shared" si="15"/>
        <v>1</v>
      </c>
      <c r="J45" s="837">
        <f t="shared" si="16"/>
        <v>1</v>
      </c>
      <c r="K45" s="837">
        <f t="shared" si="17"/>
        <v>1</v>
      </c>
      <c r="L45" s="837">
        <f t="shared" si="18"/>
        <v>1</v>
      </c>
      <c r="M45" s="837">
        <f t="shared" si="19"/>
        <v>0</v>
      </c>
      <c r="N45" s="448">
        <v>7</v>
      </c>
      <c r="O45" s="447">
        <v>8</v>
      </c>
      <c r="P45" s="1"/>
      <c r="Q45" s="1"/>
      <c r="R45" s="1"/>
      <c r="S45" s="1"/>
      <c r="T45" s="217"/>
      <c r="U45" s="217"/>
      <c r="V45" s="217"/>
      <c r="BE45" s="436"/>
    </row>
    <row r="46" spans="1:57" ht="20.100000000000001" customHeight="1">
      <c r="A46" s="223">
        <v>4</v>
      </c>
      <c r="B46" s="260" t="s">
        <v>89</v>
      </c>
      <c r="C46" s="218">
        <v>0</v>
      </c>
      <c r="D46" s="218">
        <v>0</v>
      </c>
      <c r="E46" s="218">
        <v>0</v>
      </c>
      <c r="F46" s="218">
        <v>0</v>
      </c>
      <c r="G46" s="218">
        <v>1</v>
      </c>
      <c r="H46" s="218">
        <f t="shared" si="14"/>
        <v>1</v>
      </c>
      <c r="I46" s="834">
        <f t="shared" si="15"/>
        <v>0</v>
      </c>
      <c r="J46" s="837">
        <f t="shared" si="16"/>
        <v>0</v>
      </c>
      <c r="K46" s="837">
        <f t="shared" si="17"/>
        <v>1</v>
      </c>
      <c r="L46" s="837">
        <f t="shared" si="18"/>
        <v>1</v>
      </c>
      <c r="M46" s="837">
        <f t="shared" si="19"/>
        <v>0</v>
      </c>
      <c r="N46" s="448">
        <v>9</v>
      </c>
      <c r="O46" s="447">
        <v>10</v>
      </c>
      <c r="P46" s="1"/>
      <c r="Q46" s="1"/>
      <c r="R46" s="1"/>
      <c r="S46" s="1"/>
      <c r="T46" s="217"/>
      <c r="U46" s="217"/>
      <c r="V46" s="217"/>
      <c r="BE46" s="436"/>
    </row>
    <row r="47" spans="1:57" ht="20.100000000000001" customHeight="1">
      <c r="A47" s="223">
        <v>5</v>
      </c>
      <c r="B47" s="260" t="s">
        <v>68</v>
      </c>
      <c r="C47" s="218">
        <v>1</v>
      </c>
      <c r="D47" s="218">
        <v>0</v>
      </c>
      <c r="E47" s="218">
        <v>0</v>
      </c>
      <c r="F47" s="218">
        <v>3</v>
      </c>
      <c r="G47" s="218">
        <v>0</v>
      </c>
      <c r="H47" s="218">
        <f t="shared" si="14"/>
        <v>1</v>
      </c>
      <c r="I47" s="834">
        <f t="shared" si="15"/>
        <v>1</v>
      </c>
      <c r="J47" s="837">
        <f t="shared" si="16"/>
        <v>1</v>
      </c>
      <c r="K47" s="837">
        <f t="shared" si="17"/>
        <v>1</v>
      </c>
      <c r="L47" s="837">
        <f t="shared" si="18"/>
        <v>0</v>
      </c>
      <c r="M47" s="837">
        <f t="shared" si="19"/>
        <v>0</v>
      </c>
      <c r="N47" s="448">
        <v>11</v>
      </c>
      <c r="O47" s="447">
        <v>12</v>
      </c>
      <c r="P47" s="1"/>
      <c r="Q47" s="1"/>
      <c r="R47" s="1"/>
      <c r="S47" s="1"/>
      <c r="T47" s="217"/>
      <c r="U47" s="217"/>
      <c r="V47" s="217"/>
    </row>
    <row r="48" spans="1:57" ht="20.100000000000001" customHeight="1">
      <c r="A48" s="223">
        <v>6</v>
      </c>
      <c r="B48" s="260" t="s">
        <v>69</v>
      </c>
      <c r="C48" s="218">
        <v>0</v>
      </c>
      <c r="D48" s="218">
        <v>0</v>
      </c>
      <c r="E48" s="218">
        <v>0</v>
      </c>
      <c r="F48" s="218">
        <v>0</v>
      </c>
      <c r="G48" s="218">
        <v>1</v>
      </c>
      <c r="H48" s="218">
        <f t="shared" si="14"/>
        <v>1</v>
      </c>
      <c r="I48" s="834">
        <f t="shared" si="15"/>
        <v>0</v>
      </c>
      <c r="J48" s="837">
        <f t="shared" si="16"/>
        <v>0</v>
      </c>
      <c r="K48" s="837">
        <f t="shared" si="17"/>
        <v>1</v>
      </c>
      <c r="L48" s="837">
        <f t="shared" si="18"/>
        <v>1</v>
      </c>
      <c r="M48" s="837">
        <f t="shared" si="19"/>
        <v>0</v>
      </c>
      <c r="N48" s="448">
        <v>13</v>
      </c>
      <c r="O48" s="447">
        <v>14</v>
      </c>
      <c r="P48" s="1"/>
      <c r="Q48" s="1"/>
      <c r="R48" s="1"/>
      <c r="S48" s="1"/>
      <c r="T48" s="217"/>
      <c r="U48" s="217"/>
      <c r="V48" s="217"/>
    </row>
    <row r="49" spans="1:57" ht="20.100000000000001" customHeight="1">
      <c r="A49" s="223">
        <v>7</v>
      </c>
      <c r="B49" s="260" t="s">
        <v>70</v>
      </c>
      <c r="C49" s="218">
        <v>0</v>
      </c>
      <c r="D49" s="218">
        <v>0</v>
      </c>
      <c r="E49" s="218">
        <v>0</v>
      </c>
      <c r="F49" s="218">
        <v>0</v>
      </c>
      <c r="G49" s="218">
        <v>0</v>
      </c>
      <c r="H49" s="218">
        <f t="shared" si="14"/>
        <v>1</v>
      </c>
      <c r="I49" s="834">
        <f t="shared" si="15"/>
        <v>1</v>
      </c>
      <c r="J49" s="837">
        <f t="shared" si="16"/>
        <v>1</v>
      </c>
      <c r="K49" s="837">
        <f t="shared" si="17"/>
        <v>1</v>
      </c>
      <c r="L49" s="837">
        <f t="shared" si="18"/>
        <v>0</v>
      </c>
      <c r="M49" s="837">
        <f t="shared" si="19"/>
        <v>0</v>
      </c>
      <c r="N49" s="448">
        <v>15</v>
      </c>
      <c r="O49" s="447">
        <v>16</v>
      </c>
      <c r="P49" s="1"/>
      <c r="Q49" s="1"/>
      <c r="R49" s="1"/>
      <c r="S49" s="1"/>
      <c r="T49" s="217"/>
      <c r="U49" s="217"/>
      <c r="V49" s="217"/>
      <c r="BE49" s="436"/>
    </row>
    <row r="50" spans="1:57" ht="20.100000000000001" customHeight="1">
      <c r="A50" s="223">
        <v>8</v>
      </c>
      <c r="B50" s="260" t="s">
        <v>71</v>
      </c>
      <c r="C50" s="218">
        <v>1</v>
      </c>
      <c r="D50" s="218">
        <v>0</v>
      </c>
      <c r="E50" s="218">
        <v>1</v>
      </c>
      <c r="F50" s="218">
        <v>1</v>
      </c>
      <c r="G50" s="218">
        <v>0</v>
      </c>
      <c r="H50" s="218">
        <f t="shared" si="14"/>
        <v>1</v>
      </c>
      <c r="I50" s="834">
        <f t="shared" si="15"/>
        <v>1</v>
      </c>
      <c r="J50" s="837">
        <f t="shared" si="16"/>
        <v>1</v>
      </c>
      <c r="K50" s="837">
        <f t="shared" si="17"/>
        <v>1</v>
      </c>
      <c r="L50" s="837">
        <f t="shared" si="18"/>
        <v>1</v>
      </c>
      <c r="M50" s="837">
        <f t="shared" si="19"/>
        <v>1</v>
      </c>
      <c r="N50" s="448">
        <v>17</v>
      </c>
      <c r="O50" s="447">
        <v>18</v>
      </c>
      <c r="P50" s="1"/>
      <c r="Q50" s="1"/>
      <c r="R50" s="1"/>
      <c r="S50" s="1"/>
      <c r="T50" s="217"/>
      <c r="U50" s="217"/>
      <c r="V50" s="217"/>
      <c r="BE50" s="436"/>
    </row>
    <row r="51" spans="1:57" ht="20.100000000000001" customHeight="1">
      <c r="A51" s="223">
        <v>9</v>
      </c>
      <c r="B51" s="260" t="s">
        <v>72</v>
      </c>
      <c r="C51" s="218">
        <v>0</v>
      </c>
      <c r="D51" s="218">
        <v>0</v>
      </c>
      <c r="E51" s="218">
        <v>0</v>
      </c>
      <c r="F51" s="218">
        <v>0</v>
      </c>
      <c r="G51" s="218">
        <v>0</v>
      </c>
      <c r="H51" s="218">
        <f t="shared" si="14"/>
        <v>1</v>
      </c>
      <c r="I51" s="834">
        <f t="shared" si="15"/>
        <v>1</v>
      </c>
      <c r="J51" s="837">
        <f t="shared" si="16"/>
        <v>1</v>
      </c>
      <c r="K51" s="837">
        <f t="shared" si="17"/>
        <v>1</v>
      </c>
      <c r="L51" s="837">
        <f t="shared" si="18"/>
        <v>1</v>
      </c>
      <c r="M51" s="837">
        <f t="shared" si="19"/>
        <v>0</v>
      </c>
      <c r="N51" s="448">
        <v>19</v>
      </c>
      <c r="O51" s="447">
        <v>20</v>
      </c>
      <c r="P51" s="1"/>
      <c r="Q51" s="1"/>
      <c r="R51" s="1"/>
      <c r="S51" s="1"/>
      <c r="T51" s="217"/>
      <c r="U51" s="217"/>
      <c r="V51" s="217"/>
      <c r="BE51" s="436"/>
    </row>
    <row r="52" spans="1:57" ht="20.100000000000001" customHeight="1">
      <c r="A52" s="223">
        <v>10</v>
      </c>
      <c r="B52" s="260" t="s">
        <v>140</v>
      </c>
      <c r="C52" s="218">
        <v>0</v>
      </c>
      <c r="D52" s="218">
        <v>0</v>
      </c>
      <c r="E52" s="218">
        <v>0</v>
      </c>
      <c r="F52" s="218">
        <v>0</v>
      </c>
      <c r="G52" s="218">
        <v>0</v>
      </c>
      <c r="H52" s="218">
        <f t="shared" si="14"/>
        <v>0</v>
      </c>
      <c r="I52" s="834">
        <f t="shared" si="15"/>
        <v>0</v>
      </c>
      <c r="J52" s="837">
        <f t="shared" si="16"/>
        <v>0</v>
      </c>
      <c r="K52" s="837">
        <f t="shared" si="17"/>
        <v>0</v>
      </c>
      <c r="L52" s="837">
        <f t="shared" si="18"/>
        <v>0</v>
      </c>
      <c r="M52" s="837">
        <f t="shared" si="19"/>
        <v>0</v>
      </c>
      <c r="N52" s="448">
        <v>21</v>
      </c>
      <c r="O52" s="447">
        <v>22</v>
      </c>
      <c r="P52" s="1"/>
      <c r="Q52" s="1"/>
      <c r="R52" s="1"/>
      <c r="S52" s="1"/>
      <c r="T52" s="217"/>
      <c r="U52" s="217"/>
      <c r="V52" s="217"/>
    </row>
    <row r="53" spans="1:57" ht="20.100000000000001" customHeight="1">
      <c r="A53" s="223">
        <v>11</v>
      </c>
      <c r="B53" s="260" t="s">
        <v>141</v>
      </c>
      <c r="C53" s="218">
        <v>1</v>
      </c>
      <c r="D53" s="218">
        <v>0</v>
      </c>
      <c r="E53" s="218">
        <v>0</v>
      </c>
      <c r="F53" s="218">
        <v>0</v>
      </c>
      <c r="G53" s="218">
        <v>0</v>
      </c>
      <c r="H53" s="218">
        <f t="shared" si="14"/>
        <v>1</v>
      </c>
      <c r="I53" s="834">
        <f t="shared" si="15"/>
        <v>0</v>
      </c>
      <c r="J53" s="837">
        <f t="shared" si="16"/>
        <v>1</v>
      </c>
      <c r="K53" s="837">
        <f t="shared" si="17"/>
        <v>1</v>
      </c>
      <c r="L53" s="837">
        <f t="shared" si="18"/>
        <v>1</v>
      </c>
      <c r="M53" s="837">
        <f t="shared" si="19"/>
        <v>0</v>
      </c>
      <c r="N53" s="448">
        <v>23</v>
      </c>
      <c r="O53" s="447">
        <v>24</v>
      </c>
      <c r="P53" s="1"/>
      <c r="Q53" s="1"/>
      <c r="R53" s="1"/>
      <c r="S53" s="1"/>
      <c r="T53" s="217"/>
      <c r="U53" s="217"/>
      <c r="V53" s="217"/>
    </row>
    <row r="54" spans="1:57" ht="20.100000000000001" customHeight="1">
      <c r="A54" s="223">
        <v>12</v>
      </c>
      <c r="B54" s="260" t="s">
        <v>84</v>
      </c>
      <c r="C54" s="218">
        <v>0</v>
      </c>
      <c r="D54" s="218">
        <v>0</v>
      </c>
      <c r="E54" s="218">
        <v>0</v>
      </c>
      <c r="F54" s="218">
        <v>0</v>
      </c>
      <c r="G54" s="218">
        <v>0</v>
      </c>
      <c r="H54" s="218">
        <f t="shared" si="14"/>
        <v>1</v>
      </c>
      <c r="I54" s="834">
        <f t="shared" si="15"/>
        <v>1</v>
      </c>
      <c r="J54" s="837">
        <f t="shared" si="16"/>
        <v>0</v>
      </c>
      <c r="K54" s="837">
        <f t="shared" si="17"/>
        <v>1</v>
      </c>
      <c r="L54" s="837">
        <f t="shared" si="18"/>
        <v>1</v>
      </c>
      <c r="M54" s="837">
        <f t="shared" si="19"/>
        <v>0</v>
      </c>
      <c r="N54" s="448">
        <v>25</v>
      </c>
      <c r="O54" s="447">
        <v>26</v>
      </c>
      <c r="P54" s="1"/>
      <c r="Q54" s="1"/>
      <c r="R54" s="1"/>
      <c r="S54" s="1"/>
      <c r="T54" s="217"/>
      <c r="U54" s="217"/>
      <c r="V54" s="217"/>
      <c r="BE54" s="436"/>
    </row>
    <row r="55" spans="1:57" ht="20.100000000000001" customHeight="1">
      <c r="A55" s="223">
        <v>13</v>
      </c>
      <c r="B55" s="260" t="s">
        <v>73</v>
      </c>
      <c r="C55" s="218">
        <v>0</v>
      </c>
      <c r="D55" s="218">
        <v>0</v>
      </c>
      <c r="E55" s="218">
        <v>0</v>
      </c>
      <c r="F55" s="218">
        <v>0</v>
      </c>
      <c r="G55" s="218">
        <v>1</v>
      </c>
      <c r="H55" s="218">
        <f t="shared" si="14"/>
        <v>1</v>
      </c>
      <c r="I55" s="834">
        <f t="shared" si="15"/>
        <v>1</v>
      </c>
      <c r="J55" s="837">
        <f t="shared" si="16"/>
        <v>1</v>
      </c>
      <c r="K55" s="837">
        <f t="shared" si="17"/>
        <v>1</v>
      </c>
      <c r="L55" s="837">
        <f t="shared" si="18"/>
        <v>1</v>
      </c>
      <c r="M55" s="837">
        <f t="shared" si="19"/>
        <v>0</v>
      </c>
      <c r="N55" s="448">
        <v>27</v>
      </c>
      <c r="O55" s="447">
        <v>28</v>
      </c>
      <c r="P55" s="1"/>
      <c r="Q55" s="1"/>
      <c r="R55" s="1"/>
      <c r="S55" s="1"/>
      <c r="T55" s="217"/>
      <c r="U55" s="217"/>
      <c r="V55" s="217"/>
      <c r="BE55" s="436"/>
    </row>
    <row r="56" spans="1:57" ht="20.100000000000001" customHeight="1">
      <c r="A56" s="223">
        <v>14</v>
      </c>
      <c r="B56" s="261" t="s">
        <v>142</v>
      </c>
      <c r="C56" s="218">
        <v>1</v>
      </c>
      <c r="D56" s="218">
        <v>0</v>
      </c>
      <c r="E56" s="218">
        <v>0</v>
      </c>
      <c r="F56" s="218">
        <v>0</v>
      </c>
      <c r="G56" s="218">
        <v>0</v>
      </c>
      <c r="H56" s="218">
        <f t="shared" si="14"/>
        <v>0</v>
      </c>
      <c r="I56" s="834">
        <f t="shared" si="15"/>
        <v>0</v>
      </c>
      <c r="J56" s="837">
        <f t="shared" si="16"/>
        <v>0</v>
      </c>
      <c r="K56" s="837">
        <f t="shared" si="17"/>
        <v>0</v>
      </c>
      <c r="L56" s="837">
        <f t="shared" si="18"/>
        <v>0</v>
      </c>
      <c r="M56" s="837">
        <f t="shared" si="19"/>
        <v>0</v>
      </c>
      <c r="N56" s="448">
        <v>29</v>
      </c>
      <c r="O56" s="447">
        <v>30</v>
      </c>
      <c r="P56" s="1"/>
      <c r="Q56" s="1"/>
      <c r="R56" s="1"/>
      <c r="S56" s="1"/>
      <c r="T56" s="217"/>
      <c r="U56" s="217"/>
      <c r="V56" s="217"/>
      <c r="BE56" s="436"/>
    </row>
    <row r="57" spans="1:57" ht="20.100000000000001" customHeight="1">
      <c r="A57" s="223">
        <v>15</v>
      </c>
      <c r="B57" s="797" t="s">
        <v>295</v>
      </c>
      <c r="C57" s="449">
        <v>0</v>
      </c>
      <c r="D57" s="218">
        <v>0</v>
      </c>
      <c r="E57" s="218">
        <v>0</v>
      </c>
      <c r="F57" s="218">
        <v>0</v>
      </c>
      <c r="G57" s="218">
        <v>0</v>
      </c>
      <c r="H57" s="218">
        <f t="shared" si="14"/>
        <v>1</v>
      </c>
      <c r="I57" s="834">
        <f t="shared" si="15"/>
        <v>0</v>
      </c>
      <c r="J57" s="837">
        <f t="shared" si="16"/>
        <v>0</v>
      </c>
      <c r="K57" s="837">
        <f t="shared" si="17"/>
        <v>0</v>
      </c>
      <c r="L57" s="837">
        <f t="shared" si="18"/>
        <v>1</v>
      </c>
      <c r="M57" s="837">
        <f t="shared" si="19"/>
        <v>0</v>
      </c>
      <c r="N57" s="448">
        <v>31</v>
      </c>
      <c r="O57" s="447">
        <v>32</v>
      </c>
      <c r="P57" s="1"/>
      <c r="Q57" s="1"/>
      <c r="R57" s="1"/>
      <c r="S57" s="1"/>
      <c r="T57" s="217"/>
      <c r="U57" s="217"/>
      <c r="V57" s="217"/>
      <c r="BE57" s="436"/>
    </row>
    <row r="58" spans="1:57" ht="20.100000000000001" customHeight="1">
      <c r="A58" s="223">
        <v>16</v>
      </c>
      <c r="B58" s="260" t="s">
        <v>74</v>
      </c>
      <c r="C58" s="218">
        <v>0</v>
      </c>
      <c r="D58" s="218">
        <v>0</v>
      </c>
      <c r="E58" s="218">
        <v>0</v>
      </c>
      <c r="F58" s="218">
        <v>4</v>
      </c>
      <c r="G58" s="218">
        <v>0</v>
      </c>
      <c r="H58" s="218">
        <f t="shared" si="14"/>
        <v>1</v>
      </c>
      <c r="I58" s="834">
        <f t="shared" si="15"/>
        <v>1</v>
      </c>
      <c r="J58" s="837">
        <f t="shared" si="16"/>
        <v>1</v>
      </c>
      <c r="K58" s="837">
        <f t="shared" si="17"/>
        <v>1</v>
      </c>
      <c r="L58" s="837">
        <f t="shared" si="18"/>
        <v>0</v>
      </c>
      <c r="M58" s="837">
        <f t="shared" si="19"/>
        <v>0</v>
      </c>
      <c r="N58" s="448">
        <v>33</v>
      </c>
      <c r="O58" s="447">
        <v>34</v>
      </c>
      <c r="P58" s="1"/>
      <c r="Q58" s="1"/>
      <c r="R58" s="1"/>
      <c r="S58" s="1"/>
      <c r="T58" s="217"/>
      <c r="U58" s="217"/>
      <c r="V58" s="217"/>
      <c r="BE58" s="436"/>
    </row>
    <row r="59" spans="1:57" ht="20.100000000000001" customHeight="1">
      <c r="A59" s="223">
        <v>17</v>
      </c>
      <c r="B59" s="260" t="s">
        <v>75</v>
      </c>
      <c r="C59" s="218">
        <v>1</v>
      </c>
      <c r="D59" s="218">
        <v>1</v>
      </c>
      <c r="E59" s="218">
        <v>0</v>
      </c>
      <c r="F59" s="218">
        <v>0</v>
      </c>
      <c r="G59" s="218">
        <v>1</v>
      </c>
      <c r="H59" s="218">
        <f t="shared" si="14"/>
        <v>1</v>
      </c>
      <c r="I59" s="834">
        <f t="shared" si="15"/>
        <v>1</v>
      </c>
      <c r="J59" s="837">
        <f t="shared" si="16"/>
        <v>0</v>
      </c>
      <c r="K59" s="837">
        <f t="shared" si="17"/>
        <v>1</v>
      </c>
      <c r="L59" s="837">
        <f t="shared" si="18"/>
        <v>1</v>
      </c>
      <c r="M59" s="837">
        <f t="shared" si="19"/>
        <v>0</v>
      </c>
      <c r="N59" s="448">
        <v>35</v>
      </c>
      <c r="O59" s="447">
        <v>36</v>
      </c>
      <c r="P59" s="1"/>
      <c r="Q59" s="1"/>
      <c r="R59" s="1"/>
      <c r="S59" s="1"/>
      <c r="T59" s="217"/>
      <c r="U59" s="217"/>
      <c r="V59" s="217"/>
    </row>
    <row r="60" spans="1:57" ht="20.100000000000001" customHeight="1">
      <c r="A60" s="223">
        <v>18</v>
      </c>
      <c r="B60" s="260" t="s">
        <v>76</v>
      </c>
      <c r="C60" s="218">
        <v>1</v>
      </c>
      <c r="D60" s="218">
        <v>0</v>
      </c>
      <c r="E60" s="218">
        <v>0</v>
      </c>
      <c r="F60" s="218">
        <v>0</v>
      </c>
      <c r="G60" s="218">
        <v>0</v>
      </c>
      <c r="H60" s="218">
        <f t="shared" si="14"/>
        <v>1</v>
      </c>
      <c r="I60" s="834">
        <f t="shared" si="15"/>
        <v>1</v>
      </c>
      <c r="J60" s="837">
        <f t="shared" si="16"/>
        <v>1</v>
      </c>
      <c r="K60" s="837">
        <f t="shared" si="17"/>
        <v>1</v>
      </c>
      <c r="L60" s="837">
        <f t="shared" si="18"/>
        <v>1</v>
      </c>
      <c r="M60" s="837">
        <f t="shared" si="19"/>
        <v>0</v>
      </c>
      <c r="N60" s="448">
        <v>37</v>
      </c>
      <c r="O60" s="447">
        <v>38</v>
      </c>
      <c r="P60" s="1"/>
      <c r="Q60" s="1"/>
      <c r="R60" s="1"/>
      <c r="S60" s="1"/>
      <c r="T60" s="217"/>
      <c r="U60" s="217"/>
      <c r="V60" s="217"/>
    </row>
    <row r="61" spans="1:57" ht="20.100000000000001" customHeight="1">
      <c r="A61" s="223">
        <v>19</v>
      </c>
      <c r="B61" s="260" t="s">
        <v>85</v>
      </c>
      <c r="C61" s="218">
        <v>1</v>
      </c>
      <c r="D61" s="218">
        <v>0</v>
      </c>
      <c r="E61" s="218">
        <v>0</v>
      </c>
      <c r="F61" s="218">
        <v>0</v>
      </c>
      <c r="G61" s="218">
        <v>1</v>
      </c>
      <c r="H61" s="218">
        <f t="shared" si="14"/>
        <v>1</v>
      </c>
      <c r="I61" s="834">
        <f t="shared" si="15"/>
        <v>1</v>
      </c>
      <c r="J61" s="837">
        <f t="shared" si="16"/>
        <v>0</v>
      </c>
      <c r="K61" s="837">
        <f t="shared" si="17"/>
        <v>1</v>
      </c>
      <c r="L61" s="837">
        <f t="shared" si="18"/>
        <v>1</v>
      </c>
      <c r="M61" s="837">
        <f t="shared" si="19"/>
        <v>1</v>
      </c>
      <c r="N61" s="448">
        <v>39</v>
      </c>
      <c r="O61" s="447">
        <v>40</v>
      </c>
    </row>
    <row r="62" spans="1:57" ht="24.95" customHeight="1" thickBot="1">
      <c r="A62" s="680">
        <v>21</v>
      </c>
      <c r="B62" s="679" t="s">
        <v>77</v>
      </c>
      <c r="C62" s="681">
        <v>1</v>
      </c>
      <c r="D62" s="681">
        <v>0</v>
      </c>
      <c r="E62" s="681">
        <v>0</v>
      </c>
      <c r="F62" s="681">
        <v>0</v>
      </c>
      <c r="G62" s="681">
        <v>0</v>
      </c>
      <c r="H62" s="840">
        <f t="shared" si="14"/>
        <v>1</v>
      </c>
      <c r="I62" s="835">
        <f t="shared" si="15"/>
        <v>1</v>
      </c>
      <c r="J62" s="838">
        <f t="shared" si="16"/>
        <v>1</v>
      </c>
      <c r="K62" s="838">
        <f t="shared" si="17"/>
        <v>1</v>
      </c>
      <c r="L62" s="838">
        <f t="shared" si="18"/>
        <v>1</v>
      </c>
      <c r="M62" s="838">
        <f t="shared" si="19"/>
        <v>1</v>
      </c>
      <c r="N62" s="682">
        <v>43</v>
      </c>
      <c r="O62" s="683">
        <v>44</v>
      </c>
      <c r="P62" s="1"/>
      <c r="Q62" s="1"/>
      <c r="R62" s="1"/>
      <c r="S62" s="1"/>
      <c r="T62" s="217"/>
      <c r="U62" s="217"/>
      <c r="V62" s="217"/>
    </row>
    <row r="64" spans="1:57" ht="20.100000000000001" customHeight="1">
      <c r="A64" s="421" t="s">
        <v>209</v>
      </c>
    </row>
    <row r="66" spans="1:55" ht="20.100000000000001" customHeight="1">
      <c r="A66" s="371" t="s">
        <v>181</v>
      </c>
    </row>
    <row r="67" spans="1:55" ht="20.100000000000001" customHeight="1">
      <c r="A67" s="370">
        <v>1</v>
      </c>
      <c r="B67" s="370">
        <v>2</v>
      </c>
      <c r="C67" s="370">
        <v>3</v>
      </c>
      <c r="D67" s="370">
        <v>4</v>
      </c>
      <c r="E67" s="370">
        <v>5</v>
      </c>
      <c r="F67" s="370">
        <v>6</v>
      </c>
      <c r="G67" s="370">
        <v>7</v>
      </c>
      <c r="H67" s="370">
        <v>8</v>
      </c>
      <c r="I67" s="370">
        <v>9</v>
      </c>
      <c r="J67" s="370">
        <v>10</v>
      </c>
      <c r="K67" s="370">
        <v>11</v>
      </c>
      <c r="L67" s="370">
        <v>12</v>
      </c>
      <c r="M67" s="370">
        <v>13</v>
      </c>
      <c r="N67" s="370">
        <v>14</v>
      </c>
      <c r="O67" s="370">
        <v>15</v>
      </c>
      <c r="P67" s="370">
        <v>16</v>
      </c>
      <c r="Q67" s="370">
        <v>17</v>
      </c>
      <c r="R67" s="370">
        <v>18</v>
      </c>
      <c r="S67" s="370">
        <v>19</v>
      </c>
      <c r="T67" s="370">
        <v>20</v>
      </c>
      <c r="U67" s="370">
        <v>21</v>
      </c>
      <c r="V67" s="370">
        <v>22</v>
      </c>
      <c r="W67" s="370">
        <v>23</v>
      </c>
      <c r="X67" s="370">
        <v>24</v>
      </c>
      <c r="Y67" s="370">
        <v>25</v>
      </c>
      <c r="Z67" s="370">
        <v>26</v>
      </c>
      <c r="AA67" s="370">
        <v>27</v>
      </c>
      <c r="AB67" s="370">
        <v>28</v>
      </c>
      <c r="AC67" s="370">
        <v>29</v>
      </c>
      <c r="AD67" s="370">
        <v>30</v>
      </c>
      <c r="AE67" s="370">
        <v>31</v>
      </c>
      <c r="AF67" s="370">
        <v>32</v>
      </c>
      <c r="AG67" s="370">
        <v>33</v>
      </c>
      <c r="AH67" s="370">
        <v>34</v>
      </c>
      <c r="AI67" s="370">
        <v>35</v>
      </c>
      <c r="AJ67" s="370">
        <v>36</v>
      </c>
      <c r="AK67" s="370">
        <v>37</v>
      </c>
      <c r="AL67" s="370">
        <v>38</v>
      </c>
      <c r="AM67" s="370">
        <v>39</v>
      </c>
      <c r="AN67" s="370">
        <v>40</v>
      </c>
      <c r="AO67" s="370">
        <v>41</v>
      </c>
      <c r="AP67" s="370">
        <v>42</v>
      </c>
      <c r="AQ67" s="370">
        <v>43</v>
      </c>
      <c r="AR67" s="370">
        <v>44</v>
      </c>
      <c r="AS67" s="842"/>
      <c r="AT67" s="717"/>
      <c r="AU67" s="717"/>
      <c r="AV67" s="717"/>
      <c r="AW67" s="717"/>
      <c r="AX67" s="717"/>
      <c r="AY67" s="717"/>
      <c r="AZ67" s="717"/>
      <c r="BA67" s="717"/>
      <c r="BB67" s="717"/>
      <c r="BC67" s="717"/>
    </row>
    <row r="68" spans="1:55" ht="16.5" thickBot="1">
      <c r="AT68" s="717"/>
      <c r="AU68" s="717"/>
      <c r="AV68" s="717"/>
      <c r="AW68" s="717"/>
      <c r="AX68" s="717"/>
      <c r="AY68" s="717"/>
      <c r="AZ68" s="717"/>
      <c r="BA68" s="717"/>
      <c r="BB68" s="717"/>
      <c r="BC68" s="717"/>
    </row>
    <row r="69" spans="1:55" ht="60" customHeight="1">
      <c r="A69" s="221"/>
      <c r="B69" s="423"/>
      <c r="C69" s="1315" t="s">
        <v>210</v>
      </c>
      <c r="D69" s="1311"/>
      <c r="E69" s="1307" t="s">
        <v>211</v>
      </c>
      <c r="F69" s="1314"/>
      <c r="G69" s="1315" t="s">
        <v>212</v>
      </c>
      <c r="H69" s="1311"/>
      <c r="I69" s="1316" t="s">
        <v>223</v>
      </c>
      <c r="J69" s="1314"/>
      <c r="K69" s="1315" t="s">
        <v>222</v>
      </c>
      <c r="L69" s="1311"/>
      <c r="M69" s="1307" t="s">
        <v>221</v>
      </c>
      <c r="N69" s="1311"/>
      <c r="O69" s="1309" t="s">
        <v>70</v>
      </c>
      <c r="P69" s="1314"/>
      <c r="Q69" s="1310" t="s">
        <v>71</v>
      </c>
      <c r="R69" s="1314"/>
      <c r="S69" s="1315" t="s">
        <v>224</v>
      </c>
      <c r="T69" s="1311"/>
      <c r="U69" s="1307" t="s">
        <v>220</v>
      </c>
      <c r="V69" s="1315"/>
      <c r="W69" s="1307" t="s">
        <v>227</v>
      </c>
      <c r="X69" s="1311"/>
      <c r="Y69" s="1307" t="s">
        <v>218</v>
      </c>
      <c r="Z69" s="1308"/>
      <c r="AA69" s="1307" t="s">
        <v>217</v>
      </c>
      <c r="AB69" s="1308"/>
      <c r="AC69" s="1312" t="s">
        <v>219</v>
      </c>
      <c r="AD69" s="1313"/>
      <c r="AE69" s="1309" t="s">
        <v>295</v>
      </c>
      <c r="AF69" s="1314"/>
      <c r="AG69" s="1307" t="s">
        <v>216</v>
      </c>
      <c r="AH69" s="1308"/>
      <c r="AI69" s="1307" t="s">
        <v>215</v>
      </c>
      <c r="AJ69" s="1308"/>
      <c r="AK69" s="1307" t="s">
        <v>214</v>
      </c>
      <c r="AL69" s="1308"/>
      <c r="AM69" s="1307" t="s">
        <v>213</v>
      </c>
      <c r="AN69" s="1308"/>
      <c r="AO69" s="1309" t="s">
        <v>2</v>
      </c>
      <c r="AP69" s="1310"/>
      <c r="AQ69" s="1305" t="s">
        <v>228</v>
      </c>
      <c r="AR69" s="1306"/>
      <c r="AT69" s="717"/>
      <c r="AU69" s="717"/>
      <c r="AV69" s="717"/>
      <c r="AW69" s="717"/>
      <c r="AX69" s="717"/>
      <c r="AY69" s="717"/>
      <c r="AZ69" s="717"/>
      <c r="BA69" s="717"/>
      <c r="BB69" s="717"/>
      <c r="BC69" s="717"/>
    </row>
    <row r="70" spans="1:55" ht="24.95" customHeight="1">
      <c r="A70" s="222"/>
      <c r="B70" s="424" t="s">
        <v>229</v>
      </c>
      <c r="C70" s="220" t="s">
        <v>64</v>
      </c>
      <c r="D70" s="426" t="s">
        <v>49</v>
      </c>
      <c r="E70" s="426" t="s">
        <v>64</v>
      </c>
      <c r="F70" s="426" t="s">
        <v>49</v>
      </c>
      <c r="G70" s="426" t="s">
        <v>64</v>
      </c>
      <c r="H70" s="426" t="s">
        <v>49</v>
      </c>
      <c r="I70" s="426" t="s">
        <v>64</v>
      </c>
      <c r="J70" s="426" t="s">
        <v>49</v>
      </c>
      <c r="K70" s="426" t="s">
        <v>64</v>
      </c>
      <c r="L70" s="426" t="s">
        <v>49</v>
      </c>
      <c r="M70" s="426" t="s">
        <v>64</v>
      </c>
      <c r="N70" s="426" t="s">
        <v>49</v>
      </c>
      <c r="O70" s="426" t="s">
        <v>64</v>
      </c>
      <c r="P70" s="426" t="s">
        <v>49</v>
      </c>
      <c r="Q70" s="426" t="s">
        <v>64</v>
      </c>
      <c r="R70" s="426" t="s">
        <v>49</v>
      </c>
      <c r="S70" s="426" t="s">
        <v>64</v>
      </c>
      <c r="T70" s="426" t="s">
        <v>49</v>
      </c>
      <c r="U70" s="426" t="s">
        <v>64</v>
      </c>
      <c r="V70" s="426" t="s">
        <v>49</v>
      </c>
      <c r="W70" s="426" t="s">
        <v>64</v>
      </c>
      <c r="X70" s="426" t="s">
        <v>49</v>
      </c>
      <c r="Y70" s="426" t="s">
        <v>64</v>
      </c>
      <c r="Z70" s="426" t="s">
        <v>49</v>
      </c>
      <c r="AA70" s="426" t="s">
        <v>64</v>
      </c>
      <c r="AB70" s="426" t="s">
        <v>49</v>
      </c>
      <c r="AC70" s="426" t="s">
        <v>64</v>
      </c>
      <c r="AD70" s="426" t="s">
        <v>49</v>
      </c>
      <c r="AE70" s="426" t="s">
        <v>64</v>
      </c>
      <c r="AF70" s="426" t="s">
        <v>49</v>
      </c>
      <c r="AG70" s="426" t="s">
        <v>64</v>
      </c>
      <c r="AH70" s="426" t="s">
        <v>49</v>
      </c>
      <c r="AI70" s="426" t="s">
        <v>64</v>
      </c>
      <c r="AJ70" s="426" t="s">
        <v>49</v>
      </c>
      <c r="AK70" s="426" t="s">
        <v>64</v>
      </c>
      <c r="AL70" s="426" t="s">
        <v>49</v>
      </c>
      <c r="AM70" s="426" t="s">
        <v>64</v>
      </c>
      <c r="AN70" s="426" t="s">
        <v>49</v>
      </c>
      <c r="AO70" s="426" t="s">
        <v>64</v>
      </c>
      <c r="AP70" s="427" t="s">
        <v>49</v>
      </c>
      <c r="AQ70" s="818" t="s">
        <v>64</v>
      </c>
      <c r="AR70" s="427" t="s">
        <v>49</v>
      </c>
      <c r="AT70" s="717"/>
      <c r="AU70" s="717"/>
      <c r="AV70" s="717"/>
      <c r="AW70" s="717"/>
      <c r="AX70" s="717"/>
      <c r="AY70" s="717"/>
      <c r="AZ70" s="717"/>
      <c r="BA70" s="717"/>
      <c r="BB70" s="717"/>
      <c r="BC70" s="717"/>
    </row>
    <row r="71" spans="1:55" ht="24.95" customHeight="1">
      <c r="A71" s="429"/>
      <c r="B71" s="425"/>
      <c r="C71" s="220" t="s">
        <v>32</v>
      </c>
      <c r="D71" s="198" t="s">
        <v>32</v>
      </c>
      <c r="E71" s="199" t="s">
        <v>32</v>
      </c>
      <c r="F71" s="198" t="s">
        <v>32</v>
      </c>
      <c r="G71" s="199" t="s">
        <v>32</v>
      </c>
      <c r="H71" s="200" t="s">
        <v>32</v>
      </c>
      <c r="I71" s="200" t="s">
        <v>32</v>
      </c>
      <c r="J71" s="200" t="s">
        <v>32</v>
      </c>
      <c r="K71" s="200" t="s">
        <v>32</v>
      </c>
      <c r="L71" s="200" t="s">
        <v>32</v>
      </c>
      <c r="M71" s="200" t="s">
        <v>32</v>
      </c>
      <c r="N71" s="200" t="s">
        <v>32</v>
      </c>
      <c r="O71" s="200" t="s">
        <v>32</v>
      </c>
      <c r="P71" s="199" t="s">
        <v>32</v>
      </c>
      <c r="Q71" s="200" t="s">
        <v>32</v>
      </c>
      <c r="R71" s="200" t="s">
        <v>32</v>
      </c>
      <c r="S71" s="200" t="s">
        <v>32</v>
      </c>
      <c r="T71" s="200" t="s">
        <v>32</v>
      </c>
      <c r="U71" s="200" t="s">
        <v>32</v>
      </c>
      <c r="V71" s="200" t="s">
        <v>32</v>
      </c>
      <c r="W71" s="199" t="s">
        <v>32</v>
      </c>
      <c r="X71" s="198" t="s">
        <v>32</v>
      </c>
      <c r="Y71" s="199" t="s">
        <v>32</v>
      </c>
      <c r="Z71" s="199" t="s">
        <v>32</v>
      </c>
      <c r="AA71" s="199" t="s">
        <v>32</v>
      </c>
      <c r="AB71" s="199" t="s">
        <v>32</v>
      </c>
      <c r="AC71" s="199" t="s">
        <v>32</v>
      </c>
      <c r="AD71" s="199" t="s">
        <v>32</v>
      </c>
      <c r="AE71" s="199" t="s">
        <v>32</v>
      </c>
      <c r="AF71" s="199" t="s">
        <v>32</v>
      </c>
      <c r="AG71" s="200" t="s">
        <v>32</v>
      </c>
      <c r="AH71" s="199" t="s">
        <v>32</v>
      </c>
      <c r="AI71" s="199" t="s">
        <v>32</v>
      </c>
      <c r="AJ71" s="199" t="s">
        <v>32</v>
      </c>
      <c r="AK71" s="199" t="s">
        <v>32</v>
      </c>
      <c r="AL71" s="199" t="s">
        <v>32</v>
      </c>
      <c r="AM71" s="220" t="s">
        <v>32</v>
      </c>
      <c r="AN71" s="199" t="s">
        <v>32</v>
      </c>
      <c r="AO71" s="198" t="s">
        <v>32</v>
      </c>
      <c r="AP71" s="213" t="s">
        <v>32</v>
      </c>
      <c r="AQ71" s="701" t="s">
        <v>32</v>
      </c>
      <c r="AR71" s="213" t="s">
        <v>32</v>
      </c>
      <c r="AT71" s="717"/>
      <c r="AU71" s="717"/>
      <c r="AV71" s="717"/>
      <c r="AW71" s="717"/>
      <c r="AX71" s="717"/>
      <c r="AY71" s="717"/>
      <c r="AZ71" s="717"/>
      <c r="BA71" s="717"/>
      <c r="BB71" s="717"/>
      <c r="BC71" s="717"/>
    </row>
    <row r="72" spans="1:55" ht="24.95" customHeight="1">
      <c r="A72" s="430"/>
      <c r="B72" s="431"/>
      <c r="C72" s="432" t="s">
        <v>4</v>
      </c>
      <c r="D72" s="433" t="s">
        <v>5</v>
      </c>
      <c r="E72" s="201" t="s">
        <v>6</v>
      </c>
      <c r="F72" s="202" t="s">
        <v>7</v>
      </c>
      <c r="G72" s="202" t="s">
        <v>8</v>
      </c>
      <c r="H72" s="202" t="s">
        <v>9</v>
      </c>
      <c r="I72" s="202" t="s">
        <v>61</v>
      </c>
      <c r="J72" s="202" t="s">
        <v>62</v>
      </c>
      <c r="K72" s="201" t="s">
        <v>63</v>
      </c>
      <c r="L72" s="201" t="s">
        <v>10</v>
      </c>
      <c r="M72" s="201" t="s">
        <v>11</v>
      </c>
      <c r="N72" s="202" t="s">
        <v>12</v>
      </c>
      <c r="O72" s="202" t="s">
        <v>13</v>
      </c>
      <c r="P72" s="202" t="s">
        <v>14</v>
      </c>
      <c r="Q72" s="202" t="s">
        <v>15</v>
      </c>
      <c r="R72" s="202" t="s">
        <v>16</v>
      </c>
      <c r="S72" s="202" t="s">
        <v>17</v>
      </c>
      <c r="T72" s="202" t="s">
        <v>90</v>
      </c>
      <c r="U72" s="201" t="s">
        <v>91</v>
      </c>
      <c r="V72" s="204" t="s">
        <v>119</v>
      </c>
      <c r="W72" s="204" t="s">
        <v>120</v>
      </c>
      <c r="X72" s="201" t="s">
        <v>121</v>
      </c>
      <c r="Y72" s="435" t="s">
        <v>165</v>
      </c>
      <c r="Z72" s="202" t="s">
        <v>166</v>
      </c>
      <c r="AA72" s="428" t="s">
        <v>167</v>
      </c>
      <c r="AB72" s="202" t="s">
        <v>168</v>
      </c>
      <c r="AC72" s="202" t="s">
        <v>169</v>
      </c>
      <c r="AD72" s="202" t="s">
        <v>170</v>
      </c>
      <c r="AE72" s="201" t="s">
        <v>171</v>
      </c>
      <c r="AF72" s="202" t="s">
        <v>173</v>
      </c>
      <c r="AG72" s="428" t="s">
        <v>172</v>
      </c>
      <c r="AH72" s="202" t="s">
        <v>187</v>
      </c>
      <c r="AI72" s="202" t="s">
        <v>188</v>
      </c>
      <c r="AJ72" s="202" t="s">
        <v>189</v>
      </c>
      <c r="AK72" s="202" t="s">
        <v>190</v>
      </c>
      <c r="AL72" s="202" t="s">
        <v>191</v>
      </c>
      <c r="AM72" s="412" t="s">
        <v>192</v>
      </c>
      <c r="AN72" s="202" t="s">
        <v>204</v>
      </c>
      <c r="AO72" s="201" t="s">
        <v>225</v>
      </c>
      <c r="AP72" s="214" t="s">
        <v>226</v>
      </c>
      <c r="AQ72" s="819" t="s">
        <v>286</v>
      </c>
      <c r="AR72" s="214" t="s">
        <v>287</v>
      </c>
      <c r="AT72" s="717"/>
      <c r="AU72" s="717"/>
      <c r="AV72" s="717"/>
      <c r="AW72" s="717"/>
      <c r="AX72" s="717"/>
      <c r="AY72" s="717"/>
      <c r="AZ72" s="717"/>
      <c r="BA72" s="717"/>
      <c r="BB72" s="717"/>
      <c r="BC72" s="717"/>
    </row>
    <row r="73" spans="1:55" ht="30" customHeight="1">
      <c r="A73" s="445">
        <v>1</v>
      </c>
      <c r="B73" s="438" t="s">
        <v>26</v>
      </c>
      <c r="C73" s="673">
        <v>449.96000000000004</v>
      </c>
      <c r="D73" s="673">
        <v>78.38000000000001</v>
      </c>
      <c r="E73" s="673">
        <v>27</v>
      </c>
      <c r="F73" s="673">
        <v>16</v>
      </c>
      <c r="G73" s="673">
        <v>280.89999999999998</v>
      </c>
      <c r="H73" s="673">
        <v>69.5</v>
      </c>
      <c r="I73" s="673">
        <v>69</v>
      </c>
      <c r="J73" s="673">
        <v>42</v>
      </c>
      <c r="K73" s="673">
        <v>1642.75</v>
      </c>
      <c r="L73" s="673">
        <v>185.5</v>
      </c>
      <c r="M73" s="673">
        <v>130.5</v>
      </c>
      <c r="N73" s="673">
        <v>43.25</v>
      </c>
      <c r="O73" s="673">
        <v>12</v>
      </c>
      <c r="P73" s="673">
        <v>1.8</v>
      </c>
      <c r="Q73" s="673">
        <v>1015.98</v>
      </c>
      <c r="R73" s="673">
        <v>167.17000000000002</v>
      </c>
      <c r="S73" s="673">
        <v>327.58</v>
      </c>
      <c r="T73" s="673">
        <v>18.5</v>
      </c>
      <c r="U73" s="673">
        <v>43.5</v>
      </c>
      <c r="V73" s="673">
        <v>12.3</v>
      </c>
      <c r="W73" s="673">
        <v>0</v>
      </c>
      <c r="X73" s="673">
        <v>0</v>
      </c>
      <c r="Y73" s="673">
        <v>31</v>
      </c>
      <c r="Z73" s="673">
        <v>19</v>
      </c>
      <c r="AA73" s="673">
        <v>45</v>
      </c>
      <c r="AB73" s="811">
        <v>32.4</v>
      </c>
      <c r="AC73" s="673">
        <v>3</v>
      </c>
      <c r="AD73" s="673">
        <v>4</v>
      </c>
      <c r="AE73" s="673">
        <v>0</v>
      </c>
      <c r="AF73" s="673">
        <v>0</v>
      </c>
      <c r="AG73" s="673">
        <v>470.75</v>
      </c>
      <c r="AH73" s="673">
        <v>28</v>
      </c>
      <c r="AI73" s="673">
        <v>211.34500000000006</v>
      </c>
      <c r="AJ73" s="673">
        <v>92.271000000000001</v>
      </c>
      <c r="AK73" s="673">
        <v>687.79</v>
      </c>
      <c r="AL73" s="673">
        <v>47.81</v>
      </c>
      <c r="AM73" s="673">
        <v>174.5</v>
      </c>
      <c r="AN73" s="673">
        <v>52.65</v>
      </c>
      <c r="AO73" s="695">
        <f>SUMIF($C$70:$AN$70,AO$70,$C73:$AN73)</f>
        <v>5622.5550000000003</v>
      </c>
      <c r="AP73" s="695">
        <f>SUMIF($C$70:$AN$70,AP$70,$C73:$AN73)</f>
        <v>910.53099999999984</v>
      </c>
      <c r="AQ73" s="689">
        <v>0</v>
      </c>
      <c r="AR73" s="684">
        <v>0</v>
      </c>
      <c r="AT73" s="717"/>
      <c r="AU73" s="717"/>
      <c r="AV73" s="717"/>
      <c r="AW73" s="717"/>
      <c r="AX73" s="717"/>
      <c r="AY73" s="717"/>
      <c r="AZ73" s="717"/>
      <c r="BA73" s="717"/>
      <c r="BB73" s="817"/>
      <c r="BC73" s="717"/>
    </row>
    <row r="74" spans="1:55" ht="30" customHeight="1">
      <c r="A74" s="445"/>
      <c r="B74" s="439" t="s">
        <v>23</v>
      </c>
      <c r="C74" s="671"/>
      <c r="D74" s="671"/>
      <c r="E74" s="671"/>
      <c r="F74" s="671"/>
      <c r="G74" s="671"/>
      <c r="H74" s="671"/>
      <c r="I74" s="671"/>
      <c r="J74" s="671"/>
      <c r="K74" s="671"/>
      <c r="L74" s="671"/>
      <c r="M74" s="671"/>
      <c r="N74" s="671"/>
      <c r="O74" s="671"/>
      <c r="P74" s="671"/>
      <c r="Q74" s="671"/>
      <c r="R74" s="671"/>
      <c r="S74" s="671"/>
      <c r="T74" s="671"/>
      <c r="U74" s="671"/>
      <c r="V74" s="671"/>
      <c r="W74" s="671"/>
      <c r="X74" s="671"/>
      <c r="Y74" s="671"/>
      <c r="Z74" s="671"/>
      <c r="AA74" s="671"/>
      <c r="AB74" s="812"/>
      <c r="AC74" s="671"/>
      <c r="AD74" s="671"/>
      <c r="AE74" s="671"/>
      <c r="AF74" s="671"/>
      <c r="AG74" s="671"/>
      <c r="AH74" s="671"/>
      <c r="AI74" s="671"/>
      <c r="AJ74" s="671"/>
      <c r="AK74" s="671"/>
      <c r="AL74" s="671"/>
      <c r="AM74" s="671"/>
      <c r="AN74" s="671"/>
      <c r="AO74" s="671"/>
      <c r="AP74" s="671"/>
      <c r="AQ74" s="690"/>
      <c r="AR74" s="672"/>
      <c r="AT74" s="717"/>
      <c r="AU74" s="717"/>
      <c r="AV74" s="717"/>
      <c r="AW74" s="717"/>
      <c r="AX74" s="717"/>
      <c r="AY74" s="717"/>
      <c r="AZ74" s="717"/>
      <c r="BA74" s="717"/>
      <c r="BB74" s="717"/>
      <c r="BC74" s="717"/>
    </row>
    <row r="75" spans="1:55" ht="24.95" customHeight="1">
      <c r="A75" s="445"/>
      <c r="B75" s="440" t="s">
        <v>122</v>
      </c>
      <c r="C75" s="671"/>
      <c r="D75" s="671"/>
      <c r="E75" s="671"/>
      <c r="F75" s="671"/>
      <c r="G75" s="671"/>
      <c r="H75" s="671"/>
      <c r="I75" s="671"/>
      <c r="J75" s="671"/>
      <c r="K75" s="671"/>
      <c r="L75" s="671"/>
      <c r="M75" s="671"/>
      <c r="N75" s="671"/>
      <c r="O75" s="671"/>
      <c r="P75" s="671"/>
      <c r="Q75" s="671"/>
      <c r="R75" s="671"/>
      <c r="S75" s="671"/>
      <c r="T75" s="671"/>
      <c r="U75" s="671"/>
      <c r="V75" s="671"/>
      <c r="W75" s="671"/>
      <c r="X75" s="671"/>
      <c r="Y75" s="671"/>
      <c r="Z75" s="671"/>
      <c r="AA75" s="671"/>
      <c r="AB75" s="812"/>
      <c r="AC75" s="671"/>
      <c r="AD75" s="671"/>
      <c r="AE75" s="671"/>
      <c r="AF75" s="671"/>
      <c r="AG75" s="671"/>
      <c r="AH75" s="671"/>
      <c r="AI75" s="671"/>
      <c r="AJ75" s="671"/>
      <c r="AK75" s="671"/>
      <c r="AL75" s="671"/>
      <c r="AM75" s="671"/>
      <c r="AN75" s="671"/>
      <c r="AO75" s="671"/>
      <c r="AP75" s="671"/>
      <c r="AQ75" s="690"/>
      <c r="AR75" s="672"/>
      <c r="AT75" s="717"/>
      <c r="AU75" s="717"/>
      <c r="AV75" s="717"/>
      <c r="AW75" s="717"/>
      <c r="AX75" s="717"/>
      <c r="AY75" s="717"/>
      <c r="AZ75" s="717"/>
      <c r="BA75" s="717"/>
      <c r="BB75" s="717"/>
      <c r="BC75" s="717"/>
    </row>
    <row r="76" spans="1:55" ht="20.100000000000001" customHeight="1">
      <c r="A76" s="445">
        <v>2</v>
      </c>
      <c r="B76" s="441" t="s">
        <v>123</v>
      </c>
      <c r="C76" s="675">
        <v>0</v>
      </c>
      <c r="D76" s="675">
        <v>0</v>
      </c>
      <c r="E76" s="675">
        <v>0</v>
      </c>
      <c r="F76" s="675">
        <v>0</v>
      </c>
      <c r="G76" s="675">
        <v>0</v>
      </c>
      <c r="H76" s="675">
        <v>0</v>
      </c>
      <c r="I76" s="675">
        <v>0</v>
      </c>
      <c r="J76" s="675">
        <v>0</v>
      </c>
      <c r="K76" s="675">
        <v>0</v>
      </c>
      <c r="L76" s="675">
        <v>0</v>
      </c>
      <c r="M76" s="675">
        <v>5</v>
      </c>
      <c r="N76" s="675">
        <v>0</v>
      </c>
      <c r="O76" s="675">
        <v>0</v>
      </c>
      <c r="P76" s="675">
        <v>0</v>
      </c>
      <c r="Q76" s="675">
        <v>0</v>
      </c>
      <c r="R76" s="675">
        <v>0</v>
      </c>
      <c r="S76" s="675">
        <v>0</v>
      </c>
      <c r="T76" s="675">
        <v>0</v>
      </c>
      <c r="U76" s="675">
        <v>0</v>
      </c>
      <c r="V76" s="675">
        <v>0</v>
      </c>
      <c r="W76" s="675">
        <v>0</v>
      </c>
      <c r="X76" s="675">
        <v>0</v>
      </c>
      <c r="Y76" s="675">
        <v>0</v>
      </c>
      <c r="Z76" s="675">
        <v>0</v>
      </c>
      <c r="AA76" s="675">
        <v>0</v>
      </c>
      <c r="AB76" s="813">
        <v>0</v>
      </c>
      <c r="AC76" s="675">
        <v>0</v>
      </c>
      <c r="AD76" s="675">
        <v>0</v>
      </c>
      <c r="AE76" s="675">
        <v>0</v>
      </c>
      <c r="AF76" s="675">
        <v>0</v>
      </c>
      <c r="AG76" s="675">
        <v>0</v>
      </c>
      <c r="AH76" s="675">
        <v>0</v>
      </c>
      <c r="AI76" s="675">
        <v>0</v>
      </c>
      <c r="AJ76" s="675">
        <v>0</v>
      </c>
      <c r="AK76" s="675">
        <v>0</v>
      </c>
      <c r="AL76" s="675">
        <v>0</v>
      </c>
      <c r="AM76" s="675">
        <v>78</v>
      </c>
      <c r="AN76" s="675">
        <v>0.5</v>
      </c>
      <c r="AO76" s="676">
        <f>SUMIF($C$70:$AN$70,AO$70,$C76:$AN76)</f>
        <v>83</v>
      </c>
      <c r="AP76" s="676">
        <f>SUMIF($C$70:$AN$70,AP$70,$C76:$AN76)</f>
        <v>0.5</v>
      </c>
      <c r="AQ76" s="691">
        <v>0</v>
      </c>
      <c r="AR76" s="685">
        <v>0</v>
      </c>
      <c r="AT76" s="717"/>
      <c r="AU76" s="717"/>
      <c r="AV76" s="717"/>
      <c r="AW76" s="717"/>
      <c r="AX76" s="717"/>
      <c r="AY76" s="717"/>
      <c r="AZ76" s="717"/>
      <c r="BA76" s="717"/>
      <c r="BB76" s="717"/>
      <c r="BC76" s="717"/>
    </row>
    <row r="77" spans="1:55" ht="24.95" customHeight="1">
      <c r="A77" s="445">
        <v>3</v>
      </c>
      <c r="B77" s="440" t="s">
        <v>124</v>
      </c>
      <c r="C77" s="675">
        <v>294.3</v>
      </c>
      <c r="D77" s="675">
        <v>94.58</v>
      </c>
      <c r="E77" s="675">
        <v>70</v>
      </c>
      <c r="F77" s="675">
        <v>75.900000000000006</v>
      </c>
      <c r="G77" s="675">
        <v>415.5</v>
      </c>
      <c r="H77" s="675">
        <v>414.3</v>
      </c>
      <c r="I77" s="675">
        <v>519</v>
      </c>
      <c r="J77" s="675">
        <v>223.5</v>
      </c>
      <c r="K77" s="675">
        <v>1126.79</v>
      </c>
      <c r="L77" s="675">
        <v>213.827</v>
      </c>
      <c r="M77" s="675">
        <v>235.5</v>
      </c>
      <c r="N77" s="675">
        <v>113.94</v>
      </c>
      <c r="O77" s="675">
        <v>90.5</v>
      </c>
      <c r="P77" s="675">
        <v>0</v>
      </c>
      <c r="Q77" s="675">
        <v>823.81999999999994</v>
      </c>
      <c r="R77" s="675">
        <v>243.39999999999998</v>
      </c>
      <c r="S77" s="675">
        <v>491.53</v>
      </c>
      <c r="T77" s="675">
        <v>60.89</v>
      </c>
      <c r="U77" s="675">
        <v>16</v>
      </c>
      <c r="V77" s="675">
        <v>67.099999999999994</v>
      </c>
      <c r="W77" s="675">
        <v>0</v>
      </c>
      <c r="X77" s="675">
        <v>167.7</v>
      </c>
      <c r="Y77" s="675">
        <v>120</v>
      </c>
      <c r="Z77" s="675">
        <v>169.73000000000002</v>
      </c>
      <c r="AA77" s="675">
        <v>133.33199999999999</v>
      </c>
      <c r="AB77" s="813">
        <v>166.64599999999999</v>
      </c>
      <c r="AC77" s="675">
        <v>79</v>
      </c>
      <c r="AD77" s="675">
        <v>0</v>
      </c>
      <c r="AE77" s="675">
        <v>0</v>
      </c>
      <c r="AF77" s="675">
        <v>17</v>
      </c>
      <c r="AG77" s="675">
        <v>310</v>
      </c>
      <c r="AH77" s="675">
        <v>63.53</v>
      </c>
      <c r="AI77" s="675">
        <v>228.001</v>
      </c>
      <c r="AJ77" s="675">
        <v>133.685</v>
      </c>
      <c r="AK77" s="675">
        <v>356.5</v>
      </c>
      <c r="AL77" s="675">
        <v>38.880000000000003</v>
      </c>
      <c r="AM77" s="675">
        <v>189</v>
      </c>
      <c r="AN77" s="675">
        <v>199.55</v>
      </c>
      <c r="AO77" s="676">
        <f>SUMIF($C$70:$AN$70,AO$70,$C77:$AN77)</f>
        <v>5498.7730000000001</v>
      </c>
      <c r="AP77" s="676">
        <f>SUMIF($C$70:$AN$70,AP$70,$C77:$AN77)</f>
        <v>2464.1580000000004</v>
      </c>
      <c r="AQ77" s="691">
        <v>0</v>
      </c>
      <c r="AR77" s="685">
        <v>126.9</v>
      </c>
      <c r="AT77" s="717"/>
      <c r="AU77" s="717"/>
      <c r="AV77" s="717"/>
      <c r="AW77" s="717"/>
      <c r="AX77" s="717"/>
      <c r="AY77" s="717"/>
      <c r="AZ77" s="717"/>
      <c r="BA77" s="717"/>
      <c r="BB77" s="717"/>
      <c r="BC77" s="717"/>
    </row>
    <row r="78" spans="1:55" ht="30" customHeight="1">
      <c r="A78" s="445"/>
      <c r="B78" s="440" t="s">
        <v>2</v>
      </c>
      <c r="C78" s="676">
        <f>SUM(C76:C77)</f>
        <v>294.3</v>
      </c>
      <c r="D78" s="676">
        <f t="shared" ref="D78:O78" si="20">SUM(D76:D77)</f>
        <v>94.58</v>
      </c>
      <c r="E78" s="676">
        <f t="shared" si="20"/>
        <v>70</v>
      </c>
      <c r="F78" s="676">
        <f t="shared" si="20"/>
        <v>75.900000000000006</v>
      </c>
      <c r="G78" s="676">
        <f t="shared" si="20"/>
        <v>415.5</v>
      </c>
      <c r="H78" s="676">
        <f t="shared" si="20"/>
        <v>414.3</v>
      </c>
      <c r="I78" s="676">
        <f t="shared" si="20"/>
        <v>519</v>
      </c>
      <c r="J78" s="676">
        <f t="shared" si="20"/>
        <v>223.5</v>
      </c>
      <c r="K78" s="676">
        <f t="shared" si="20"/>
        <v>1126.79</v>
      </c>
      <c r="L78" s="676">
        <f t="shared" si="20"/>
        <v>213.827</v>
      </c>
      <c r="M78" s="676">
        <f t="shared" si="20"/>
        <v>240.5</v>
      </c>
      <c r="N78" s="676">
        <f t="shared" si="20"/>
        <v>113.94</v>
      </c>
      <c r="O78" s="676">
        <f t="shared" si="20"/>
        <v>90.5</v>
      </c>
      <c r="P78" s="676">
        <f t="shared" ref="P78:AR78" si="21">SUM(P76:P77)</f>
        <v>0</v>
      </c>
      <c r="Q78" s="676">
        <f t="shared" si="21"/>
        <v>823.81999999999994</v>
      </c>
      <c r="R78" s="676">
        <f t="shared" si="21"/>
        <v>243.39999999999998</v>
      </c>
      <c r="S78" s="676">
        <f t="shared" si="21"/>
        <v>491.53</v>
      </c>
      <c r="T78" s="676">
        <f t="shared" si="21"/>
        <v>60.89</v>
      </c>
      <c r="U78" s="676">
        <f t="shared" si="21"/>
        <v>16</v>
      </c>
      <c r="V78" s="676">
        <f t="shared" si="21"/>
        <v>67.099999999999994</v>
      </c>
      <c r="W78" s="676">
        <f t="shared" si="21"/>
        <v>0</v>
      </c>
      <c r="X78" s="676">
        <f t="shared" si="21"/>
        <v>167.7</v>
      </c>
      <c r="Y78" s="676">
        <f t="shared" si="21"/>
        <v>120</v>
      </c>
      <c r="Z78" s="676">
        <f t="shared" si="21"/>
        <v>169.73000000000002</v>
      </c>
      <c r="AA78" s="676">
        <f t="shared" si="21"/>
        <v>133.33199999999999</v>
      </c>
      <c r="AB78" s="814">
        <f t="shared" si="21"/>
        <v>166.64599999999999</v>
      </c>
      <c r="AC78" s="676">
        <f t="shared" si="21"/>
        <v>79</v>
      </c>
      <c r="AD78" s="676">
        <f t="shared" si="21"/>
        <v>0</v>
      </c>
      <c r="AE78" s="676">
        <f t="shared" si="21"/>
        <v>0</v>
      </c>
      <c r="AF78" s="676">
        <f t="shared" si="21"/>
        <v>17</v>
      </c>
      <c r="AG78" s="676">
        <f t="shared" si="21"/>
        <v>310</v>
      </c>
      <c r="AH78" s="676">
        <f t="shared" si="21"/>
        <v>63.53</v>
      </c>
      <c r="AI78" s="676">
        <f t="shared" si="21"/>
        <v>228.001</v>
      </c>
      <c r="AJ78" s="676">
        <f t="shared" si="21"/>
        <v>133.685</v>
      </c>
      <c r="AK78" s="676">
        <f t="shared" si="21"/>
        <v>356.5</v>
      </c>
      <c r="AL78" s="676">
        <f t="shared" si="21"/>
        <v>38.880000000000003</v>
      </c>
      <c r="AM78" s="676">
        <f t="shared" si="21"/>
        <v>267</v>
      </c>
      <c r="AN78" s="676">
        <f t="shared" si="21"/>
        <v>200.05</v>
      </c>
      <c r="AO78" s="676">
        <f t="shared" si="21"/>
        <v>5581.7730000000001</v>
      </c>
      <c r="AP78" s="676">
        <f t="shared" si="21"/>
        <v>2464.6580000000004</v>
      </c>
      <c r="AQ78" s="692">
        <f t="shared" si="21"/>
        <v>0</v>
      </c>
      <c r="AR78" s="686">
        <f t="shared" si="21"/>
        <v>126.9</v>
      </c>
      <c r="AT78" s="717"/>
      <c r="AU78" s="717"/>
      <c r="AV78" s="717"/>
      <c r="AW78" s="717"/>
      <c r="AX78" s="717"/>
      <c r="AY78" s="717"/>
      <c r="AZ78" s="717"/>
      <c r="BA78" s="717"/>
      <c r="BB78" s="717"/>
      <c r="BC78" s="717"/>
    </row>
    <row r="79" spans="1:55" ht="30" customHeight="1">
      <c r="A79" s="445"/>
      <c r="B79" s="439" t="s">
        <v>24</v>
      </c>
      <c r="C79" s="671"/>
      <c r="D79" s="671"/>
      <c r="E79" s="671"/>
      <c r="F79" s="671"/>
      <c r="G79" s="671"/>
      <c r="H79" s="671"/>
      <c r="I79" s="671"/>
      <c r="J79" s="671"/>
      <c r="K79" s="671"/>
      <c r="L79" s="671"/>
      <c r="M79" s="671"/>
      <c r="N79" s="671"/>
      <c r="O79" s="671"/>
      <c r="P79" s="671"/>
      <c r="Q79" s="671"/>
      <c r="R79" s="671"/>
      <c r="S79" s="671"/>
      <c r="T79" s="671"/>
      <c r="U79" s="671"/>
      <c r="V79" s="671"/>
      <c r="W79" s="671"/>
      <c r="X79" s="671"/>
      <c r="Y79" s="671"/>
      <c r="Z79" s="671"/>
      <c r="AA79" s="671"/>
      <c r="AB79" s="812"/>
      <c r="AC79" s="671"/>
      <c r="AD79" s="671"/>
      <c r="AE79" s="671"/>
      <c r="AF79" s="671"/>
      <c r="AG79" s="671"/>
      <c r="AH79" s="671"/>
      <c r="AI79" s="671"/>
      <c r="AJ79" s="671"/>
      <c r="AK79" s="671"/>
      <c r="AL79" s="671"/>
      <c r="AM79" s="671"/>
      <c r="AN79" s="671"/>
      <c r="AO79" s="671"/>
      <c r="AP79" s="671"/>
      <c r="AQ79" s="690"/>
      <c r="AR79" s="672"/>
      <c r="AT79" s="717"/>
      <c r="AU79" s="717"/>
      <c r="AV79" s="717"/>
      <c r="AW79" s="717"/>
      <c r="AX79" s="717"/>
      <c r="AY79" s="717"/>
      <c r="AZ79" s="717"/>
      <c r="BA79" s="717"/>
      <c r="BB79" s="717"/>
      <c r="BC79" s="717"/>
    </row>
    <row r="80" spans="1:55" ht="24.95" customHeight="1">
      <c r="A80" s="445"/>
      <c r="B80" s="440" t="s">
        <v>122</v>
      </c>
      <c r="C80" s="671"/>
      <c r="D80" s="671"/>
      <c r="E80" s="671"/>
      <c r="F80" s="671"/>
      <c r="G80" s="671"/>
      <c r="H80" s="671"/>
      <c r="I80" s="671"/>
      <c r="J80" s="671"/>
      <c r="K80" s="671"/>
      <c r="L80" s="671"/>
      <c r="M80" s="671"/>
      <c r="N80" s="671"/>
      <c r="O80" s="671"/>
      <c r="P80" s="671"/>
      <c r="Q80" s="671"/>
      <c r="R80" s="671"/>
      <c r="S80" s="671"/>
      <c r="T80" s="671"/>
      <c r="U80" s="671"/>
      <c r="V80" s="671"/>
      <c r="W80" s="671"/>
      <c r="X80" s="671"/>
      <c r="Y80" s="671"/>
      <c r="Z80" s="671"/>
      <c r="AA80" s="671"/>
      <c r="AB80" s="812"/>
      <c r="AC80" s="671"/>
      <c r="AD80" s="671"/>
      <c r="AE80" s="671"/>
      <c r="AF80" s="671"/>
      <c r="AG80" s="671"/>
      <c r="AH80" s="671"/>
      <c r="AI80" s="671"/>
      <c r="AJ80" s="671"/>
      <c r="AK80" s="671"/>
      <c r="AL80" s="671"/>
      <c r="AM80" s="671"/>
      <c r="AN80" s="671"/>
      <c r="AO80" s="671"/>
      <c r="AP80" s="671"/>
      <c r="AQ80" s="690"/>
      <c r="AR80" s="672"/>
      <c r="AT80" s="717"/>
      <c r="AU80" s="717"/>
      <c r="AV80" s="717"/>
      <c r="AW80" s="717"/>
      <c r="AX80" s="717"/>
      <c r="AY80" s="717"/>
      <c r="AZ80" s="717"/>
      <c r="BA80" s="717"/>
      <c r="BB80" s="717"/>
      <c r="BC80" s="717"/>
    </row>
    <row r="81" spans="1:55" ht="20.100000000000001" customHeight="1">
      <c r="A81" s="445">
        <v>4</v>
      </c>
      <c r="B81" s="441" t="s">
        <v>125</v>
      </c>
      <c r="C81" s="675">
        <v>78</v>
      </c>
      <c r="D81" s="675">
        <v>4</v>
      </c>
      <c r="E81" s="675">
        <v>0</v>
      </c>
      <c r="F81" s="675">
        <v>0</v>
      </c>
      <c r="G81" s="675">
        <v>62</v>
      </c>
      <c r="H81" s="675">
        <v>0</v>
      </c>
      <c r="I81" s="675">
        <v>0</v>
      </c>
      <c r="J81" s="675">
        <v>0</v>
      </c>
      <c r="K81" s="675">
        <v>99</v>
      </c>
      <c r="L81" s="675">
        <v>0</v>
      </c>
      <c r="M81" s="675">
        <v>0</v>
      </c>
      <c r="N81" s="675">
        <v>0</v>
      </c>
      <c r="O81" s="675">
        <v>0</v>
      </c>
      <c r="P81" s="675">
        <v>0</v>
      </c>
      <c r="Q81" s="675">
        <v>105</v>
      </c>
      <c r="R81" s="675">
        <v>0</v>
      </c>
      <c r="S81" s="675">
        <v>0</v>
      </c>
      <c r="T81" s="675">
        <v>0</v>
      </c>
      <c r="U81" s="675">
        <v>0</v>
      </c>
      <c r="V81" s="675">
        <v>0</v>
      </c>
      <c r="W81" s="675">
        <v>0</v>
      </c>
      <c r="X81" s="675">
        <v>0</v>
      </c>
      <c r="Y81" s="675">
        <v>0</v>
      </c>
      <c r="Z81" s="675">
        <v>0</v>
      </c>
      <c r="AA81" s="675">
        <v>0</v>
      </c>
      <c r="AB81" s="813">
        <v>0</v>
      </c>
      <c r="AC81" s="675">
        <v>0</v>
      </c>
      <c r="AD81" s="675">
        <v>0</v>
      </c>
      <c r="AE81" s="675">
        <v>0</v>
      </c>
      <c r="AF81" s="675">
        <v>0</v>
      </c>
      <c r="AG81" s="675">
        <v>0</v>
      </c>
      <c r="AH81" s="675">
        <v>0</v>
      </c>
      <c r="AI81" s="675">
        <v>0</v>
      </c>
      <c r="AJ81" s="675">
        <v>0</v>
      </c>
      <c r="AK81" s="675">
        <v>191</v>
      </c>
      <c r="AL81" s="675">
        <v>0</v>
      </c>
      <c r="AM81" s="675">
        <v>48</v>
      </c>
      <c r="AN81" s="675">
        <v>0</v>
      </c>
      <c r="AO81" s="676">
        <f t="shared" ref="AO81:AP83" si="22">SUMIF($C$70:$AN$70,AO$70,$C81:$AN81)</f>
        <v>583</v>
      </c>
      <c r="AP81" s="676">
        <f t="shared" si="22"/>
        <v>4</v>
      </c>
      <c r="AQ81" s="691">
        <v>0</v>
      </c>
      <c r="AR81" s="685">
        <v>0</v>
      </c>
      <c r="AT81" s="717"/>
      <c r="AU81" s="717"/>
      <c r="AV81" s="717"/>
      <c r="AW81" s="717"/>
      <c r="AX81" s="717"/>
      <c r="AY81" s="717"/>
      <c r="AZ81" s="717"/>
      <c r="BA81" s="717"/>
      <c r="BB81" s="717"/>
      <c r="BC81" s="717"/>
    </row>
    <row r="82" spans="1:55" ht="20.100000000000001" customHeight="1">
      <c r="A82" s="445">
        <v>5</v>
      </c>
      <c r="B82" s="441" t="s">
        <v>126</v>
      </c>
      <c r="C82" s="675">
        <v>120</v>
      </c>
      <c r="D82" s="675">
        <v>0.5</v>
      </c>
      <c r="E82" s="675">
        <v>0</v>
      </c>
      <c r="F82" s="675">
        <v>0</v>
      </c>
      <c r="G82" s="675">
        <v>27</v>
      </c>
      <c r="H82" s="675">
        <v>0</v>
      </c>
      <c r="I82" s="675">
        <v>0</v>
      </c>
      <c r="J82" s="675">
        <v>0</v>
      </c>
      <c r="K82" s="675">
        <v>158</v>
      </c>
      <c r="L82" s="675">
        <v>0</v>
      </c>
      <c r="M82" s="675">
        <v>0</v>
      </c>
      <c r="N82" s="675">
        <v>0</v>
      </c>
      <c r="O82" s="675">
        <v>0</v>
      </c>
      <c r="P82" s="675">
        <v>0</v>
      </c>
      <c r="Q82" s="675">
        <v>138</v>
      </c>
      <c r="R82" s="675">
        <v>1.5</v>
      </c>
      <c r="S82" s="675">
        <v>0</v>
      </c>
      <c r="T82" s="675">
        <v>0</v>
      </c>
      <c r="U82" s="675">
        <v>0</v>
      </c>
      <c r="V82" s="675">
        <v>0</v>
      </c>
      <c r="W82" s="675">
        <v>5</v>
      </c>
      <c r="X82" s="675">
        <v>0</v>
      </c>
      <c r="Y82" s="675">
        <v>0</v>
      </c>
      <c r="Z82" s="675">
        <v>0</v>
      </c>
      <c r="AA82" s="675">
        <v>0</v>
      </c>
      <c r="AB82" s="813">
        <v>0</v>
      </c>
      <c r="AC82" s="675">
        <v>0</v>
      </c>
      <c r="AD82" s="675">
        <v>0</v>
      </c>
      <c r="AE82" s="675">
        <v>0</v>
      </c>
      <c r="AF82" s="675">
        <v>0</v>
      </c>
      <c r="AG82" s="675">
        <v>0</v>
      </c>
      <c r="AH82" s="675">
        <v>0</v>
      </c>
      <c r="AI82" s="675">
        <v>0</v>
      </c>
      <c r="AJ82" s="675">
        <v>0</v>
      </c>
      <c r="AK82" s="675">
        <v>366</v>
      </c>
      <c r="AL82" s="675">
        <v>1.23</v>
      </c>
      <c r="AM82" s="675">
        <v>55</v>
      </c>
      <c r="AN82" s="675">
        <v>0</v>
      </c>
      <c r="AO82" s="676">
        <f t="shared" si="22"/>
        <v>869</v>
      </c>
      <c r="AP82" s="676">
        <f t="shared" si="22"/>
        <v>3.23</v>
      </c>
      <c r="AQ82" s="691">
        <v>4</v>
      </c>
      <c r="AR82" s="685">
        <v>0</v>
      </c>
      <c r="AT82" s="717"/>
      <c r="AU82" s="717"/>
      <c r="AV82" s="717"/>
      <c r="AW82" s="717"/>
      <c r="AX82" s="717"/>
      <c r="AY82" s="717"/>
      <c r="AZ82" s="717"/>
      <c r="BA82" s="717"/>
      <c r="BB82" s="717"/>
      <c r="BC82" s="717"/>
    </row>
    <row r="83" spans="1:55" ht="24.95" customHeight="1">
      <c r="A83" s="445">
        <v>6</v>
      </c>
      <c r="B83" s="440" t="s">
        <v>124</v>
      </c>
      <c r="C83" s="675">
        <v>0</v>
      </c>
      <c r="D83" s="675">
        <v>65.62</v>
      </c>
      <c r="E83" s="675">
        <v>0</v>
      </c>
      <c r="F83" s="675">
        <v>0</v>
      </c>
      <c r="G83" s="675">
        <v>94</v>
      </c>
      <c r="H83" s="675">
        <v>72.5</v>
      </c>
      <c r="I83" s="675">
        <v>0</v>
      </c>
      <c r="J83" s="675">
        <v>0</v>
      </c>
      <c r="K83" s="675">
        <v>105</v>
      </c>
      <c r="L83" s="675">
        <v>68.083330000000004</v>
      </c>
      <c r="M83" s="675">
        <v>0</v>
      </c>
      <c r="N83" s="675">
        <v>0</v>
      </c>
      <c r="O83" s="675">
        <v>89</v>
      </c>
      <c r="P83" s="675">
        <v>8</v>
      </c>
      <c r="Q83" s="675">
        <v>2.7949999999999999</v>
      </c>
      <c r="R83" s="675">
        <v>191.53799999999998</v>
      </c>
      <c r="S83" s="675">
        <v>0</v>
      </c>
      <c r="T83" s="675">
        <v>0</v>
      </c>
      <c r="U83" s="675">
        <v>0</v>
      </c>
      <c r="V83" s="675">
        <v>6.8</v>
      </c>
      <c r="W83" s="675">
        <v>0</v>
      </c>
      <c r="X83" s="675">
        <v>0</v>
      </c>
      <c r="Y83" s="675">
        <v>0</v>
      </c>
      <c r="Z83" s="675">
        <v>0</v>
      </c>
      <c r="AA83" s="675">
        <v>29</v>
      </c>
      <c r="AB83" s="813">
        <v>0</v>
      </c>
      <c r="AC83" s="675">
        <v>0</v>
      </c>
      <c r="AD83" s="675">
        <v>0</v>
      </c>
      <c r="AE83" s="675">
        <v>0</v>
      </c>
      <c r="AF83" s="675">
        <v>0</v>
      </c>
      <c r="AG83" s="675">
        <v>0</v>
      </c>
      <c r="AH83" s="675">
        <v>0</v>
      </c>
      <c r="AI83" s="675">
        <v>12.99</v>
      </c>
      <c r="AJ83" s="675">
        <v>11.5</v>
      </c>
      <c r="AK83" s="675">
        <v>42</v>
      </c>
      <c r="AL83" s="675">
        <v>103.88</v>
      </c>
      <c r="AM83" s="675">
        <v>0</v>
      </c>
      <c r="AN83" s="675">
        <v>39.499999999999993</v>
      </c>
      <c r="AO83" s="676">
        <f t="shared" si="22"/>
        <v>374.78500000000003</v>
      </c>
      <c r="AP83" s="676">
        <f t="shared" si="22"/>
        <v>567.4213299999999</v>
      </c>
      <c r="AQ83" s="691">
        <v>0</v>
      </c>
      <c r="AR83" s="685">
        <v>0</v>
      </c>
      <c r="AT83" s="717"/>
      <c r="AU83" s="717"/>
      <c r="AV83" s="717"/>
      <c r="AW83" s="717"/>
      <c r="AX83" s="717"/>
      <c r="AY83" s="717"/>
      <c r="AZ83" s="717"/>
      <c r="BA83" s="717"/>
      <c r="BB83" s="717"/>
      <c r="BC83" s="717"/>
    </row>
    <row r="84" spans="1:55" ht="30" customHeight="1">
      <c r="A84" s="445"/>
      <c r="B84" s="440" t="s">
        <v>2</v>
      </c>
      <c r="C84" s="676">
        <f>SUM(C81:C83)</f>
        <v>198</v>
      </c>
      <c r="D84" s="676">
        <f t="shared" ref="D84:O84" si="23">SUM(D81:D83)</f>
        <v>70.12</v>
      </c>
      <c r="E84" s="676">
        <f t="shared" si="23"/>
        <v>0</v>
      </c>
      <c r="F84" s="676">
        <f t="shared" si="23"/>
        <v>0</v>
      </c>
      <c r="G84" s="676">
        <f t="shared" si="23"/>
        <v>183</v>
      </c>
      <c r="H84" s="676">
        <f t="shared" si="23"/>
        <v>72.5</v>
      </c>
      <c r="I84" s="676">
        <f t="shared" si="23"/>
        <v>0</v>
      </c>
      <c r="J84" s="676">
        <f t="shared" si="23"/>
        <v>0</v>
      </c>
      <c r="K84" s="676">
        <f t="shared" si="23"/>
        <v>362</v>
      </c>
      <c r="L84" s="676">
        <f t="shared" si="23"/>
        <v>68.083330000000004</v>
      </c>
      <c r="M84" s="676">
        <f t="shared" si="23"/>
        <v>0</v>
      </c>
      <c r="N84" s="676">
        <f t="shared" si="23"/>
        <v>0</v>
      </c>
      <c r="O84" s="676">
        <f t="shared" si="23"/>
        <v>89</v>
      </c>
      <c r="P84" s="676">
        <f t="shared" ref="P84:AR84" si="24">SUM(P81:P83)</f>
        <v>8</v>
      </c>
      <c r="Q84" s="676">
        <f t="shared" si="24"/>
        <v>245.79499999999999</v>
      </c>
      <c r="R84" s="676">
        <f t="shared" si="24"/>
        <v>193.03799999999998</v>
      </c>
      <c r="S84" s="676">
        <f t="shared" si="24"/>
        <v>0</v>
      </c>
      <c r="T84" s="676">
        <f t="shared" si="24"/>
        <v>0</v>
      </c>
      <c r="U84" s="676">
        <f t="shared" si="24"/>
        <v>0</v>
      </c>
      <c r="V84" s="676">
        <f t="shared" si="24"/>
        <v>6.8</v>
      </c>
      <c r="W84" s="676">
        <f t="shared" si="24"/>
        <v>5</v>
      </c>
      <c r="X84" s="676">
        <f t="shared" si="24"/>
        <v>0</v>
      </c>
      <c r="Y84" s="676">
        <f t="shared" si="24"/>
        <v>0</v>
      </c>
      <c r="Z84" s="676">
        <f t="shared" si="24"/>
        <v>0</v>
      </c>
      <c r="AA84" s="676">
        <f t="shared" si="24"/>
        <v>29</v>
      </c>
      <c r="AB84" s="814">
        <f t="shared" si="24"/>
        <v>0</v>
      </c>
      <c r="AC84" s="676">
        <f t="shared" si="24"/>
        <v>0</v>
      </c>
      <c r="AD84" s="676">
        <f t="shared" si="24"/>
        <v>0</v>
      </c>
      <c r="AE84" s="676">
        <f t="shared" si="24"/>
        <v>0</v>
      </c>
      <c r="AF84" s="676">
        <f t="shared" si="24"/>
        <v>0</v>
      </c>
      <c r="AG84" s="676">
        <f t="shared" si="24"/>
        <v>0</v>
      </c>
      <c r="AH84" s="676">
        <f t="shared" si="24"/>
        <v>0</v>
      </c>
      <c r="AI84" s="676">
        <f t="shared" si="24"/>
        <v>12.99</v>
      </c>
      <c r="AJ84" s="676">
        <f t="shared" si="24"/>
        <v>11.5</v>
      </c>
      <c r="AK84" s="676">
        <f t="shared" si="24"/>
        <v>599</v>
      </c>
      <c r="AL84" s="676">
        <f t="shared" si="24"/>
        <v>105.11</v>
      </c>
      <c r="AM84" s="676">
        <f t="shared" si="24"/>
        <v>103</v>
      </c>
      <c r="AN84" s="676">
        <f t="shared" si="24"/>
        <v>39.499999999999993</v>
      </c>
      <c r="AO84" s="676">
        <f t="shared" si="24"/>
        <v>1826.7850000000001</v>
      </c>
      <c r="AP84" s="676">
        <f t="shared" si="24"/>
        <v>574.65132999999992</v>
      </c>
      <c r="AQ84" s="692">
        <f t="shared" si="24"/>
        <v>4</v>
      </c>
      <c r="AR84" s="686">
        <f t="shared" si="24"/>
        <v>0</v>
      </c>
      <c r="AT84" s="717"/>
      <c r="AU84" s="717"/>
      <c r="AV84" s="717"/>
      <c r="AW84" s="717"/>
      <c r="AX84" s="717"/>
      <c r="AY84" s="717"/>
      <c r="AZ84" s="717"/>
      <c r="BA84" s="717"/>
      <c r="BB84" s="717"/>
      <c r="BC84" s="717"/>
    </row>
    <row r="85" spans="1:55" ht="30" customHeight="1">
      <c r="A85" s="445"/>
      <c r="B85" s="439" t="s">
        <v>25</v>
      </c>
      <c r="C85" s="671"/>
      <c r="D85" s="671"/>
      <c r="E85" s="671"/>
      <c r="F85" s="671"/>
      <c r="G85" s="671"/>
      <c r="H85" s="671"/>
      <c r="I85" s="671"/>
      <c r="J85" s="671"/>
      <c r="K85" s="671"/>
      <c r="L85" s="671"/>
      <c r="M85" s="671"/>
      <c r="N85" s="671"/>
      <c r="O85" s="671"/>
      <c r="P85" s="671"/>
      <c r="Q85" s="671"/>
      <c r="R85" s="671"/>
      <c r="S85" s="671"/>
      <c r="T85" s="671"/>
      <c r="U85" s="671"/>
      <c r="V85" s="671"/>
      <c r="W85" s="671"/>
      <c r="X85" s="671"/>
      <c r="Y85" s="671"/>
      <c r="Z85" s="671"/>
      <c r="AA85" s="671"/>
      <c r="AB85" s="812"/>
      <c r="AC85" s="671"/>
      <c r="AD85" s="671"/>
      <c r="AE85" s="671"/>
      <c r="AF85" s="671"/>
      <c r="AG85" s="671"/>
      <c r="AH85" s="671"/>
      <c r="AI85" s="671"/>
      <c r="AJ85" s="671"/>
      <c r="AK85" s="671"/>
      <c r="AL85" s="671"/>
      <c r="AM85" s="671"/>
      <c r="AN85" s="671"/>
      <c r="AO85" s="671"/>
      <c r="AP85" s="671"/>
      <c r="AQ85" s="690"/>
      <c r="AR85" s="672"/>
      <c r="AT85" s="717"/>
      <c r="AU85" s="717"/>
      <c r="AV85" s="717"/>
      <c r="AW85" s="717"/>
      <c r="AX85" s="717"/>
      <c r="AY85" s="717"/>
      <c r="AZ85" s="717"/>
      <c r="BA85" s="717"/>
      <c r="BB85" s="717"/>
      <c r="BC85" s="717"/>
    </row>
    <row r="86" spans="1:55" ht="24.95" customHeight="1">
      <c r="A86" s="445"/>
      <c r="B86" s="440" t="s">
        <v>122</v>
      </c>
      <c r="C86" s="671"/>
      <c r="D86" s="671"/>
      <c r="E86" s="671"/>
      <c r="F86" s="671"/>
      <c r="G86" s="671"/>
      <c r="H86" s="671"/>
      <c r="I86" s="671"/>
      <c r="J86" s="671"/>
      <c r="K86" s="671"/>
      <c r="L86" s="671"/>
      <c r="M86" s="671"/>
      <c r="N86" s="671"/>
      <c r="O86" s="671"/>
      <c r="P86" s="671"/>
      <c r="Q86" s="671"/>
      <c r="R86" s="671"/>
      <c r="S86" s="671"/>
      <c r="T86" s="671"/>
      <c r="U86" s="671"/>
      <c r="V86" s="671"/>
      <c r="W86" s="671"/>
      <c r="X86" s="671"/>
      <c r="Y86" s="671"/>
      <c r="Z86" s="671"/>
      <c r="AA86" s="671"/>
      <c r="AB86" s="812"/>
      <c r="AC86" s="671"/>
      <c r="AD86" s="671"/>
      <c r="AE86" s="671"/>
      <c r="AF86" s="671"/>
      <c r="AG86" s="671"/>
      <c r="AH86" s="671"/>
      <c r="AI86" s="671"/>
      <c r="AJ86" s="671"/>
      <c r="AK86" s="671"/>
      <c r="AL86" s="671"/>
      <c r="AM86" s="671"/>
      <c r="AN86" s="671"/>
      <c r="AO86" s="671"/>
      <c r="AP86" s="671"/>
      <c r="AQ86" s="690"/>
      <c r="AR86" s="672"/>
      <c r="AT86" s="717"/>
      <c r="AU86" s="717"/>
      <c r="AV86" s="717"/>
      <c r="AW86" s="717"/>
      <c r="AX86" s="717"/>
      <c r="AY86" s="717"/>
      <c r="AZ86" s="717"/>
      <c r="BA86" s="717"/>
      <c r="BB86" s="717"/>
      <c r="BC86" s="717"/>
    </row>
    <row r="87" spans="1:55" ht="24.95" customHeight="1">
      <c r="A87" s="445"/>
      <c r="B87" s="441" t="s">
        <v>128</v>
      </c>
      <c r="C87" s="670"/>
      <c r="D87" s="670"/>
      <c r="E87" s="670"/>
      <c r="F87" s="670"/>
      <c r="G87" s="670"/>
      <c r="H87" s="670"/>
      <c r="I87" s="670"/>
      <c r="J87" s="670"/>
      <c r="K87" s="670"/>
      <c r="L87" s="670"/>
      <c r="M87" s="670"/>
      <c r="N87" s="670"/>
      <c r="O87" s="670"/>
      <c r="P87" s="670"/>
      <c r="Q87" s="670"/>
      <c r="R87" s="670"/>
      <c r="S87" s="670"/>
      <c r="T87" s="670"/>
      <c r="U87" s="670"/>
      <c r="V87" s="670"/>
      <c r="W87" s="670"/>
      <c r="X87" s="670"/>
      <c r="Y87" s="670"/>
      <c r="Z87" s="670"/>
      <c r="AA87" s="670"/>
      <c r="AB87" s="196"/>
      <c r="AC87" s="670"/>
      <c r="AD87" s="670"/>
      <c r="AE87" s="670"/>
      <c r="AF87" s="670"/>
      <c r="AG87" s="670"/>
      <c r="AH87" s="670"/>
      <c r="AI87" s="670"/>
      <c r="AJ87" s="670"/>
      <c r="AK87" s="670"/>
      <c r="AL87" s="670"/>
      <c r="AM87" s="670"/>
      <c r="AN87" s="670"/>
      <c r="AO87" s="670"/>
      <c r="AP87" s="670"/>
      <c r="AQ87" s="410"/>
      <c r="AR87" s="212"/>
      <c r="AT87" s="717"/>
      <c r="AU87" s="717"/>
      <c r="AV87" s="717"/>
      <c r="AW87" s="717"/>
      <c r="AX87" s="717"/>
      <c r="AY87" s="717"/>
      <c r="AZ87" s="717"/>
      <c r="BA87" s="717"/>
      <c r="BB87" s="717"/>
      <c r="BC87" s="717"/>
    </row>
    <row r="88" spans="1:55" ht="20.100000000000001" customHeight="1">
      <c r="A88" s="445">
        <v>7</v>
      </c>
      <c r="B88" s="442" t="s">
        <v>50</v>
      </c>
      <c r="C88" s="675">
        <v>510</v>
      </c>
      <c r="D88" s="675">
        <v>0</v>
      </c>
      <c r="E88" s="675">
        <v>0</v>
      </c>
      <c r="F88" s="675">
        <v>0</v>
      </c>
      <c r="G88" s="675">
        <v>432</v>
      </c>
      <c r="H88" s="675">
        <v>0</v>
      </c>
      <c r="I88" s="675">
        <v>0</v>
      </c>
      <c r="J88" s="675">
        <v>0</v>
      </c>
      <c r="K88" s="675">
        <v>675</v>
      </c>
      <c r="L88" s="675">
        <v>0</v>
      </c>
      <c r="M88" s="675">
        <v>0</v>
      </c>
      <c r="N88" s="675">
        <v>0</v>
      </c>
      <c r="O88" s="675">
        <v>0</v>
      </c>
      <c r="P88" s="675">
        <v>0</v>
      </c>
      <c r="Q88" s="675">
        <v>741</v>
      </c>
      <c r="R88" s="675">
        <v>0</v>
      </c>
      <c r="S88" s="675">
        <v>0</v>
      </c>
      <c r="T88" s="675">
        <v>0</v>
      </c>
      <c r="U88" s="675">
        <v>0</v>
      </c>
      <c r="V88" s="675">
        <v>0</v>
      </c>
      <c r="W88" s="675">
        <v>0</v>
      </c>
      <c r="X88" s="675">
        <v>0</v>
      </c>
      <c r="Y88" s="675">
        <v>0</v>
      </c>
      <c r="Z88" s="675">
        <v>0</v>
      </c>
      <c r="AA88" s="675">
        <v>0</v>
      </c>
      <c r="AB88" s="813">
        <v>0</v>
      </c>
      <c r="AC88" s="675">
        <v>0</v>
      </c>
      <c r="AD88" s="675">
        <v>0</v>
      </c>
      <c r="AE88" s="675">
        <v>0</v>
      </c>
      <c r="AF88" s="675">
        <v>0</v>
      </c>
      <c r="AG88" s="675">
        <v>0</v>
      </c>
      <c r="AH88" s="675">
        <v>0</v>
      </c>
      <c r="AI88" s="675">
        <v>0</v>
      </c>
      <c r="AJ88" s="675">
        <v>0</v>
      </c>
      <c r="AK88" s="675">
        <v>0</v>
      </c>
      <c r="AL88" s="675">
        <v>0</v>
      </c>
      <c r="AM88" s="675">
        <v>0</v>
      </c>
      <c r="AN88" s="675">
        <v>0</v>
      </c>
      <c r="AO88" s="676">
        <f t="shared" ref="AO88:AP91" si="25">SUMIF($C$70:$AN$70,AO$70,$C88:$AN88)</f>
        <v>2358</v>
      </c>
      <c r="AP88" s="676">
        <f t="shared" si="25"/>
        <v>0</v>
      </c>
      <c r="AQ88" s="691">
        <v>0</v>
      </c>
      <c r="AR88" s="685">
        <v>0</v>
      </c>
      <c r="AT88" s="717"/>
      <c r="AU88" s="717"/>
      <c r="AV88" s="717"/>
      <c r="AW88" s="717"/>
      <c r="AX88" s="717"/>
      <c r="AY88" s="717"/>
      <c r="AZ88" s="717"/>
      <c r="BA88" s="717"/>
      <c r="BB88" s="717"/>
      <c r="BC88" s="717"/>
    </row>
    <row r="89" spans="1:55" ht="20.100000000000001" customHeight="1">
      <c r="A89" s="445">
        <v>8</v>
      </c>
      <c r="B89" s="442" t="s">
        <v>51</v>
      </c>
      <c r="C89" s="675">
        <v>69.5</v>
      </c>
      <c r="D89" s="675">
        <v>0</v>
      </c>
      <c r="E89" s="675">
        <v>0</v>
      </c>
      <c r="F89" s="675">
        <v>0</v>
      </c>
      <c r="G89" s="675">
        <v>248</v>
      </c>
      <c r="H89" s="675">
        <v>0</v>
      </c>
      <c r="I89" s="675">
        <v>0</v>
      </c>
      <c r="J89" s="675">
        <v>0</v>
      </c>
      <c r="K89" s="675">
        <v>0</v>
      </c>
      <c r="L89" s="675">
        <v>0</v>
      </c>
      <c r="M89" s="675">
        <v>0</v>
      </c>
      <c r="N89" s="675">
        <v>0</v>
      </c>
      <c r="O89" s="675">
        <v>0</v>
      </c>
      <c r="P89" s="675">
        <v>0</v>
      </c>
      <c r="Q89" s="675">
        <v>353</v>
      </c>
      <c r="R89" s="675">
        <v>0</v>
      </c>
      <c r="S89" s="675">
        <v>0</v>
      </c>
      <c r="T89" s="675">
        <v>0</v>
      </c>
      <c r="U89" s="675">
        <v>0</v>
      </c>
      <c r="V89" s="675">
        <v>0</v>
      </c>
      <c r="W89" s="675">
        <v>0</v>
      </c>
      <c r="X89" s="675">
        <v>0</v>
      </c>
      <c r="Y89" s="675">
        <v>0</v>
      </c>
      <c r="Z89" s="675">
        <v>0</v>
      </c>
      <c r="AA89" s="675">
        <v>0</v>
      </c>
      <c r="AB89" s="813">
        <v>0</v>
      </c>
      <c r="AC89" s="675">
        <v>0</v>
      </c>
      <c r="AD89" s="675">
        <v>0</v>
      </c>
      <c r="AE89" s="675">
        <v>0</v>
      </c>
      <c r="AF89" s="675">
        <v>0</v>
      </c>
      <c r="AG89" s="675">
        <v>0</v>
      </c>
      <c r="AH89" s="675">
        <v>0</v>
      </c>
      <c r="AI89" s="675">
        <v>0</v>
      </c>
      <c r="AJ89" s="675">
        <v>0</v>
      </c>
      <c r="AK89" s="675">
        <v>0</v>
      </c>
      <c r="AL89" s="675">
        <v>0</v>
      </c>
      <c r="AM89" s="675">
        <v>0</v>
      </c>
      <c r="AN89" s="675">
        <v>0</v>
      </c>
      <c r="AO89" s="676">
        <f t="shared" si="25"/>
        <v>670.5</v>
      </c>
      <c r="AP89" s="676">
        <f t="shared" si="25"/>
        <v>0</v>
      </c>
      <c r="AQ89" s="691">
        <v>0</v>
      </c>
      <c r="AR89" s="685">
        <v>0</v>
      </c>
      <c r="AT89" s="717"/>
      <c r="AU89" s="717"/>
      <c r="AV89" s="717"/>
      <c r="AW89" s="717"/>
      <c r="AX89" s="717"/>
      <c r="AY89" s="717"/>
      <c r="AZ89" s="717"/>
      <c r="BA89" s="717"/>
      <c r="BB89" s="717"/>
      <c r="BC89" s="717"/>
    </row>
    <row r="90" spans="1:55" ht="20.100000000000001" customHeight="1">
      <c r="A90" s="445">
        <v>9</v>
      </c>
      <c r="B90" s="442" t="s">
        <v>19</v>
      </c>
      <c r="C90" s="675">
        <v>285</v>
      </c>
      <c r="D90" s="675">
        <v>0</v>
      </c>
      <c r="E90" s="675">
        <v>0</v>
      </c>
      <c r="F90" s="675">
        <v>0</v>
      </c>
      <c r="G90" s="675">
        <v>296</v>
      </c>
      <c r="H90" s="675">
        <v>0</v>
      </c>
      <c r="I90" s="675">
        <v>0</v>
      </c>
      <c r="J90" s="675">
        <v>0</v>
      </c>
      <c r="K90" s="675">
        <v>315</v>
      </c>
      <c r="L90" s="675">
        <v>0</v>
      </c>
      <c r="M90" s="675">
        <v>0</v>
      </c>
      <c r="N90" s="675">
        <v>0</v>
      </c>
      <c r="O90" s="675">
        <v>0</v>
      </c>
      <c r="P90" s="675">
        <v>0</v>
      </c>
      <c r="Q90" s="675">
        <v>402</v>
      </c>
      <c r="R90" s="675">
        <v>0</v>
      </c>
      <c r="S90" s="675">
        <v>0</v>
      </c>
      <c r="T90" s="675">
        <v>0</v>
      </c>
      <c r="U90" s="675">
        <v>0</v>
      </c>
      <c r="V90" s="675">
        <v>0</v>
      </c>
      <c r="W90" s="675">
        <v>0</v>
      </c>
      <c r="X90" s="675">
        <v>0</v>
      </c>
      <c r="Y90" s="675">
        <v>0</v>
      </c>
      <c r="Z90" s="675">
        <v>0</v>
      </c>
      <c r="AA90" s="675">
        <v>0</v>
      </c>
      <c r="AB90" s="813">
        <v>0</v>
      </c>
      <c r="AC90" s="675">
        <v>0</v>
      </c>
      <c r="AD90" s="675">
        <v>0</v>
      </c>
      <c r="AE90" s="675">
        <v>0</v>
      </c>
      <c r="AF90" s="675">
        <v>0</v>
      </c>
      <c r="AG90" s="675">
        <v>301.5</v>
      </c>
      <c r="AH90" s="675">
        <v>0</v>
      </c>
      <c r="AI90" s="675">
        <v>0</v>
      </c>
      <c r="AJ90" s="675">
        <v>0</v>
      </c>
      <c r="AK90" s="675">
        <v>0</v>
      </c>
      <c r="AL90" s="675">
        <v>0</v>
      </c>
      <c r="AM90" s="675">
        <v>0</v>
      </c>
      <c r="AN90" s="675">
        <v>0</v>
      </c>
      <c r="AO90" s="676">
        <f t="shared" si="25"/>
        <v>1599.5</v>
      </c>
      <c r="AP90" s="676">
        <f t="shared" si="25"/>
        <v>0</v>
      </c>
      <c r="AQ90" s="691">
        <v>0</v>
      </c>
      <c r="AR90" s="685">
        <v>0</v>
      </c>
      <c r="AT90" s="717"/>
      <c r="AU90" s="717"/>
      <c r="AV90" s="717"/>
      <c r="AW90" s="717"/>
      <c r="AX90" s="717"/>
      <c r="AY90" s="717"/>
      <c r="AZ90" s="717"/>
      <c r="BA90" s="717"/>
      <c r="BB90" s="717"/>
      <c r="BC90" s="717"/>
    </row>
    <row r="91" spans="1:55" ht="20.100000000000001" customHeight="1">
      <c r="A91" s="445">
        <v>10</v>
      </c>
      <c r="B91" s="442" t="s">
        <v>20</v>
      </c>
      <c r="C91" s="675">
        <v>0</v>
      </c>
      <c r="D91" s="675">
        <v>0</v>
      </c>
      <c r="E91" s="675">
        <v>0</v>
      </c>
      <c r="F91" s="675">
        <v>0</v>
      </c>
      <c r="G91" s="675">
        <v>65</v>
      </c>
      <c r="H91" s="675">
        <v>0</v>
      </c>
      <c r="I91" s="675">
        <v>0</v>
      </c>
      <c r="J91" s="675">
        <v>0</v>
      </c>
      <c r="K91" s="675">
        <v>0</v>
      </c>
      <c r="L91" s="675">
        <v>0</v>
      </c>
      <c r="M91" s="675">
        <v>0</v>
      </c>
      <c r="N91" s="675">
        <v>0</v>
      </c>
      <c r="O91" s="675">
        <v>0</v>
      </c>
      <c r="P91" s="675">
        <v>0</v>
      </c>
      <c r="Q91" s="675">
        <v>77</v>
      </c>
      <c r="R91" s="675">
        <v>0</v>
      </c>
      <c r="S91" s="675">
        <v>0</v>
      </c>
      <c r="T91" s="675">
        <v>0</v>
      </c>
      <c r="U91" s="675">
        <v>0</v>
      </c>
      <c r="V91" s="675">
        <v>0</v>
      </c>
      <c r="W91" s="675">
        <v>0</v>
      </c>
      <c r="X91" s="675">
        <v>0</v>
      </c>
      <c r="Y91" s="675">
        <v>0</v>
      </c>
      <c r="Z91" s="675">
        <v>0</v>
      </c>
      <c r="AA91" s="675">
        <v>0</v>
      </c>
      <c r="AB91" s="813">
        <v>0</v>
      </c>
      <c r="AC91" s="675">
        <v>0</v>
      </c>
      <c r="AD91" s="675">
        <v>0</v>
      </c>
      <c r="AE91" s="675">
        <v>0</v>
      </c>
      <c r="AF91" s="675">
        <v>0</v>
      </c>
      <c r="AG91" s="675">
        <v>0</v>
      </c>
      <c r="AH91" s="675">
        <v>0</v>
      </c>
      <c r="AI91" s="675">
        <v>0</v>
      </c>
      <c r="AJ91" s="675">
        <v>0</v>
      </c>
      <c r="AK91" s="675">
        <v>0</v>
      </c>
      <c r="AL91" s="675">
        <v>0</v>
      </c>
      <c r="AM91" s="675">
        <v>0</v>
      </c>
      <c r="AN91" s="675">
        <v>0</v>
      </c>
      <c r="AO91" s="676">
        <f t="shared" si="25"/>
        <v>142</v>
      </c>
      <c r="AP91" s="676">
        <f t="shared" si="25"/>
        <v>0</v>
      </c>
      <c r="AQ91" s="691">
        <v>0</v>
      </c>
      <c r="AR91" s="685">
        <v>0</v>
      </c>
      <c r="AT91" s="717"/>
      <c r="AU91" s="717"/>
      <c r="AV91" s="717"/>
      <c r="AW91" s="717"/>
      <c r="AX91" s="717"/>
      <c r="AY91" s="717"/>
      <c r="AZ91" s="717"/>
      <c r="BA91" s="717"/>
      <c r="BB91" s="717"/>
      <c r="BC91" s="717"/>
    </row>
    <row r="92" spans="1:55" ht="24.95" customHeight="1">
      <c r="A92" s="445"/>
      <c r="B92" s="441" t="s">
        <v>21</v>
      </c>
      <c r="C92" s="671"/>
      <c r="D92" s="671"/>
      <c r="E92" s="671"/>
      <c r="F92" s="671"/>
      <c r="G92" s="671"/>
      <c r="H92" s="671"/>
      <c r="I92" s="671"/>
      <c r="J92" s="671"/>
      <c r="K92" s="671"/>
      <c r="L92" s="671"/>
      <c r="M92" s="671"/>
      <c r="N92" s="671"/>
      <c r="O92" s="671"/>
      <c r="P92" s="671"/>
      <c r="Q92" s="671"/>
      <c r="R92" s="671"/>
      <c r="S92" s="671"/>
      <c r="T92" s="671"/>
      <c r="U92" s="671"/>
      <c r="V92" s="671"/>
      <c r="W92" s="671"/>
      <c r="X92" s="671"/>
      <c r="Y92" s="671"/>
      <c r="Z92" s="671"/>
      <c r="AA92" s="671"/>
      <c r="AB92" s="812"/>
      <c r="AC92" s="671"/>
      <c r="AD92" s="671"/>
      <c r="AE92" s="671"/>
      <c r="AF92" s="671"/>
      <c r="AG92" s="671"/>
      <c r="AH92" s="671"/>
      <c r="AI92" s="671"/>
      <c r="AJ92" s="671"/>
      <c r="AK92" s="671"/>
      <c r="AL92" s="671"/>
      <c r="AM92" s="671"/>
      <c r="AN92" s="671"/>
      <c r="AO92" s="675"/>
      <c r="AP92" s="671"/>
      <c r="AQ92" s="690"/>
      <c r="AR92" s="672"/>
      <c r="AT92" s="717"/>
      <c r="AU92" s="717"/>
      <c r="AV92" s="717"/>
      <c r="AW92" s="717"/>
      <c r="AX92" s="717"/>
      <c r="AY92" s="717"/>
      <c r="AZ92" s="717"/>
      <c r="BA92" s="717"/>
      <c r="BB92" s="717"/>
      <c r="BC92" s="717"/>
    </row>
    <row r="93" spans="1:55" ht="20.100000000000001" customHeight="1">
      <c r="A93" s="445">
        <v>11</v>
      </c>
      <c r="B93" s="442" t="s">
        <v>134</v>
      </c>
      <c r="C93" s="675">
        <v>476</v>
      </c>
      <c r="D93" s="675">
        <v>2.5</v>
      </c>
      <c r="E93" s="675">
        <v>0</v>
      </c>
      <c r="F93" s="675">
        <v>0</v>
      </c>
      <c r="G93" s="675">
        <v>286</v>
      </c>
      <c r="H93" s="675">
        <v>2.5</v>
      </c>
      <c r="I93" s="675">
        <v>0</v>
      </c>
      <c r="J93" s="675">
        <v>0</v>
      </c>
      <c r="K93" s="675">
        <v>502</v>
      </c>
      <c r="L93" s="675">
        <v>0.66666700000000001</v>
      </c>
      <c r="M93" s="675">
        <v>0</v>
      </c>
      <c r="N93" s="675">
        <v>0</v>
      </c>
      <c r="O93" s="675">
        <v>0</v>
      </c>
      <c r="P93" s="675">
        <v>0</v>
      </c>
      <c r="Q93" s="675">
        <v>581.16700000000003</v>
      </c>
      <c r="R93" s="675">
        <v>11.567</v>
      </c>
      <c r="S93" s="675">
        <v>0</v>
      </c>
      <c r="T93" s="675">
        <v>0</v>
      </c>
      <c r="U93" s="675">
        <v>0</v>
      </c>
      <c r="V93" s="675">
        <v>0</v>
      </c>
      <c r="W93" s="675">
        <v>0</v>
      </c>
      <c r="X93" s="675">
        <v>0</v>
      </c>
      <c r="Y93" s="675">
        <v>0</v>
      </c>
      <c r="Z93" s="675">
        <v>0</v>
      </c>
      <c r="AA93" s="675">
        <v>0</v>
      </c>
      <c r="AB93" s="813">
        <v>0</v>
      </c>
      <c r="AC93" s="675">
        <v>0</v>
      </c>
      <c r="AD93" s="675">
        <v>0</v>
      </c>
      <c r="AE93" s="675">
        <v>0</v>
      </c>
      <c r="AF93" s="675">
        <v>0</v>
      </c>
      <c r="AG93" s="675">
        <v>0</v>
      </c>
      <c r="AH93" s="675">
        <v>0</v>
      </c>
      <c r="AI93" s="675">
        <v>171</v>
      </c>
      <c r="AJ93" s="675">
        <v>1.0790000000000002</v>
      </c>
      <c r="AK93" s="675">
        <v>566</v>
      </c>
      <c r="AL93" s="675">
        <v>0</v>
      </c>
      <c r="AM93" s="675">
        <v>263</v>
      </c>
      <c r="AN93" s="675">
        <v>1.6000000000000014</v>
      </c>
      <c r="AO93" s="676">
        <f t="shared" ref="AO93:AP97" si="26">SUMIF($C$70:$AN$70,AO$70,$C93:$AN93)</f>
        <v>2845.1669999999999</v>
      </c>
      <c r="AP93" s="676">
        <f t="shared" si="26"/>
        <v>19.912667000000003</v>
      </c>
      <c r="AQ93" s="691">
        <v>0</v>
      </c>
      <c r="AR93" s="685">
        <v>0</v>
      </c>
      <c r="AT93" s="717"/>
      <c r="AU93" s="717"/>
      <c r="AV93" s="717"/>
      <c r="AW93" s="717"/>
      <c r="AX93" s="717"/>
      <c r="AY93" s="717"/>
      <c r="AZ93" s="717"/>
      <c r="BA93" s="717"/>
      <c r="BB93" s="717"/>
      <c r="BC93" s="717"/>
    </row>
    <row r="94" spans="1:55" ht="20.100000000000001" customHeight="1">
      <c r="A94" s="445">
        <v>12</v>
      </c>
      <c r="B94" s="442" t="s">
        <v>35</v>
      </c>
      <c r="C94" s="675">
        <v>71</v>
      </c>
      <c r="D94" s="675">
        <v>0.63</v>
      </c>
      <c r="E94" s="675">
        <v>0</v>
      </c>
      <c r="F94" s="675">
        <v>0</v>
      </c>
      <c r="G94" s="675">
        <v>0</v>
      </c>
      <c r="H94" s="675">
        <v>0</v>
      </c>
      <c r="I94" s="675">
        <v>0</v>
      </c>
      <c r="J94" s="675">
        <v>0</v>
      </c>
      <c r="K94" s="675">
        <v>0</v>
      </c>
      <c r="L94" s="675">
        <v>0</v>
      </c>
      <c r="M94" s="675">
        <v>0</v>
      </c>
      <c r="N94" s="675">
        <v>0</v>
      </c>
      <c r="O94" s="675">
        <v>0</v>
      </c>
      <c r="P94" s="675">
        <v>0</v>
      </c>
      <c r="Q94" s="675">
        <v>0</v>
      </c>
      <c r="R94" s="675">
        <v>0</v>
      </c>
      <c r="S94" s="675">
        <v>0</v>
      </c>
      <c r="T94" s="675">
        <v>0</v>
      </c>
      <c r="U94" s="675">
        <v>0</v>
      </c>
      <c r="V94" s="675">
        <v>0</v>
      </c>
      <c r="W94" s="675">
        <v>0</v>
      </c>
      <c r="X94" s="675">
        <v>0</v>
      </c>
      <c r="Y94" s="675">
        <v>0</v>
      </c>
      <c r="Z94" s="675">
        <v>0</v>
      </c>
      <c r="AA94" s="675">
        <v>0</v>
      </c>
      <c r="AB94" s="813">
        <v>0</v>
      </c>
      <c r="AC94" s="675">
        <v>89</v>
      </c>
      <c r="AD94" s="675">
        <v>0</v>
      </c>
      <c r="AE94" s="675">
        <v>0</v>
      </c>
      <c r="AF94" s="675">
        <v>0</v>
      </c>
      <c r="AG94" s="675">
        <v>0</v>
      </c>
      <c r="AH94" s="675">
        <v>0</v>
      </c>
      <c r="AI94" s="675">
        <v>0</v>
      </c>
      <c r="AJ94" s="675">
        <v>0</v>
      </c>
      <c r="AK94" s="675">
        <v>0</v>
      </c>
      <c r="AL94" s="675">
        <v>0</v>
      </c>
      <c r="AM94" s="675">
        <v>0</v>
      </c>
      <c r="AN94" s="675">
        <v>0</v>
      </c>
      <c r="AO94" s="676">
        <f t="shared" si="26"/>
        <v>160</v>
      </c>
      <c r="AP94" s="676">
        <f t="shared" si="26"/>
        <v>0.63</v>
      </c>
      <c r="AQ94" s="691">
        <v>0</v>
      </c>
      <c r="AR94" s="685">
        <v>0</v>
      </c>
      <c r="AT94" s="717"/>
      <c r="AU94" s="717"/>
      <c r="AV94" s="717"/>
      <c r="AW94" s="717"/>
      <c r="AX94" s="717"/>
      <c r="AY94" s="717"/>
      <c r="AZ94" s="717"/>
      <c r="BA94" s="717"/>
      <c r="BB94" s="717"/>
      <c r="BC94" s="717"/>
    </row>
    <row r="95" spans="1:55" ht="20.100000000000001" customHeight="1">
      <c r="A95" s="445">
        <v>13</v>
      </c>
      <c r="B95" s="442" t="s">
        <v>36</v>
      </c>
      <c r="C95" s="675">
        <v>0</v>
      </c>
      <c r="D95" s="675">
        <v>0</v>
      </c>
      <c r="E95" s="675">
        <v>0</v>
      </c>
      <c r="F95" s="675">
        <v>0</v>
      </c>
      <c r="G95" s="675">
        <v>0</v>
      </c>
      <c r="H95" s="675">
        <v>0</v>
      </c>
      <c r="I95" s="675">
        <v>0</v>
      </c>
      <c r="J95" s="675">
        <v>0</v>
      </c>
      <c r="K95" s="675">
        <v>379</v>
      </c>
      <c r="L95" s="675">
        <v>0.2</v>
      </c>
      <c r="M95" s="675">
        <v>0</v>
      </c>
      <c r="N95" s="675">
        <v>0</v>
      </c>
      <c r="O95" s="675">
        <v>0</v>
      </c>
      <c r="P95" s="675">
        <v>0</v>
      </c>
      <c r="Q95" s="675">
        <v>0</v>
      </c>
      <c r="R95" s="675">
        <v>0</v>
      </c>
      <c r="S95" s="675">
        <v>0</v>
      </c>
      <c r="T95" s="675">
        <v>0</v>
      </c>
      <c r="U95" s="675">
        <v>0</v>
      </c>
      <c r="V95" s="675">
        <v>0</v>
      </c>
      <c r="W95" s="675">
        <v>0</v>
      </c>
      <c r="X95" s="675">
        <v>0</v>
      </c>
      <c r="Y95" s="675">
        <v>0</v>
      </c>
      <c r="Z95" s="675">
        <v>0</v>
      </c>
      <c r="AA95" s="675">
        <v>0</v>
      </c>
      <c r="AB95" s="813">
        <v>0</v>
      </c>
      <c r="AC95" s="675">
        <v>0</v>
      </c>
      <c r="AD95" s="675">
        <v>0</v>
      </c>
      <c r="AE95" s="675">
        <v>0</v>
      </c>
      <c r="AF95" s="675">
        <v>0</v>
      </c>
      <c r="AG95" s="675">
        <v>0</v>
      </c>
      <c r="AH95" s="675">
        <v>0</v>
      </c>
      <c r="AI95" s="675">
        <v>0</v>
      </c>
      <c r="AJ95" s="675">
        <v>0</v>
      </c>
      <c r="AK95" s="675">
        <v>0</v>
      </c>
      <c r="AL95" s="675">
        <v>0</v>
      </c>
      <c r="AM95" s="675">
        <v>0</v>
      </c>
      <c r="AN95" s="675">
        <v>0</v>
      </c>
      <c r="AO95" s="676">
        <f t="shared" si="26"/>
        <v>379</v>
      </c>
      <c r="AP95" s="676">
        <f t="shared" si="26"/>
        <v>0.2</v>
      </c>
      <c r="AQ95" s="691">
        <v>0</v>
      </c>
      <c r="AR95" s="685">
        <v>0</v>
      </c>
      <c r="AT95" s="717"/>
      <c r="AU95" s="717"/>
      <c r="AV95" s="717"/>
      <c r="AW95" s="717"/>
      <c r="AX95" s="717"/>
      <c r="AY95" s="717"/>
      <c r="AZ95" s="717"/>
      <c r="BA95" s="717"/>
      <c r="BB95" s="717"/>
      <c r="BC95" s="717"/>
    </row>
    <row r="96" spans="1:55" ht="20.100000000000001" customHeight="1">
      <c r="A96" s="445">
        <v>14</v>
      </c>
      <c r="B96" s="442" t="s">
        <v>37</v>
      </c>
      <c r="C96" s="675">
        <v>0</v>
      </c>
      <c r="D96" s="675">
        <v>0</v>
      </c>
      <c r="E96" s="675">
        <v>0</v>
      </c>
      <c r="F96" s="675">
        <v>0</v>
      </c>
      <c r="G96" s="675">
        <v>0</v>
      </c>
      <c r="H96" s="675">
        <v>0</v>
      </c>
      <c r="I96" s="675">
        <v>0</v>
      </c>
      <c r="J96" s="675">
        <v>0</v>
      </c>
      <c r="K96" s="675">
        <v>3</v>
      </c>
      <c r="L96" s="675">
        <v>0</v>
      </c>
      <c r="M96" s="675">
        <v>0</v>
      </c>
      <c r="N96" s="675">
        <v>0</v>
      </c>
      <c r="O96" s="675">
        <v>0</v>
      </c>
      <c r="P96" s="675">
        <v>0</v>
      </c>
      <c r="Q96" s="675">
        <v>121</v>
      </c>
      <c r="R96" s="675">
        <v>0</v>
      </c>
      <c r="S96" s="675">
        <v>0</v>
      </c>
      <c r="T96" s="675">
        <v>0</v>
      </c>
      <c r="U96" s="675">
        <v>0</v>
      </c>
      <c r="V96" s="675">
        <v>0</v>
      </c>
      <c r="W96" s="675">
        <v>0</v>
      </c>
      <c r="X96" s="675">
        <v>0</v>
      </c>
      <c r="Y96" s="675">
        <v>0</v>
      </c>
      <c r="Z96" s="675">
        <v>0</v>
      </c>
      <c r="AA96" s="675">
        <v>0</v>
      </c>
      <c r="AB96" s="813">
        <v>0</v>
      </c>
      <c r="AC96" s="675">
        <v>0</v>
      </c>
      <c r="AD96" s="675">
        <v>0</v>
      </c>
      <c r="AE96" s="675">
        <v>0</v>
      </c>
      <c r="AF96" s="675">
        <v>0</v>
      </c>
      <c r="AG96" s="675">
        <v>0</v>
      </c>
      <c r="AH96" s="675">
        <v>0</v>
      </c>
      <c r="AI96" s="675">
        <v>0</v>
      </c>
      <c r="AJ96" s="675">
        <v>0</v>
      </c>
      <c r="AK96" s="675">
        <v>0</v>
      </c>
      <c r="AL96" s="675">
        <v>0</v>
      </c>
      <c r="AM96" s="675">
        <v>0</v>
      </c>
      <c r="AN96" s="675">
        <v>0</v>
      </c>
      <c r="AO96" s="676">
        <f t="shared" si="26"/>
        <v>124</v>
      </c>
      <c r="AP96" s="676">
        <f t="shared" si="26"/>
        <v>0</v>
      </c>
      <c r="AQ96" s="691">
        <v>0</v>
      </c>
      <c r="AR96" s="685">
        <v>0</v>
      </c>
      <c r="AT96" s="717"/>
      <c r="AU96" s="717"/>
      <c r="AV96" s="717"/>
      <c r="AW96" s="717"/>
      <c r="AX96" s="717"/>
      <c r="AY96" s="717"/>
      <c r="AZ96" s="717"/>
      <c r="BA96" s="717"/>
      <c r="BB96" s="717"/>
      <c r="BC96" s="717"/>
    </row>
    <row r="97" spans="1:55" ht="24.95" customHeight="1">
      <c r="A97" s="445">
        <v>15</v>
      </c>
      <c r="B97" s="443" t="s">
        <v>123</v>
      </c>
      <c r="C97" s="674">
        <v>0</v>
      </c>
      <c r="D97" s="674">
        <v>0</v>
      </c>
      <c r="E97" s="674">
        <v>0</v>
      </c>
      <c r="F97" s="674">
        <v>0</v>
      </c>
      <c r="G97" s="674">
        <v>1119.3</v>
      </c>
      <c r="H97" s="674">
        <v>0.25</v>
      </c>
      <c r="I97" s="674">
        <v>1537</v>
      </c>
      <c r="J97" s="674">
        <v>0</v>
      </c>
      <c r="K97" s="674">
        <v>0</v>
      </c>
      <c r="L97" s="674">
        <v>0</v>
      </c>
      <c r="M97" s="674">
        <v>1292</v>
      </c>
      <c r="N97" s="674">
        <v>36.5</v>
      </c>
      <c r="O97" s="674">
        <v>0</v>
      </c>
      <c r="P97" s="674">
        <v>0</v>
      </c>
      <c r="Q97" s="674">
        <v>0</v>
      </c>
      <c r="R97" s="674">
        <v>0</v>
      </c>
      <c r="S97" s="674">
        <v>0</v>
      </c>
      <c r="T97" s="674">
        <v>0</v>
      </c>
      <c r="U97" s="674">
        <v>0</v>
      </c>
      <c r="V97" s="674">
        <v>0</v>
      </c>
      <c r="W97" s="674">
        <v>0</v>
      </c>
      <c r="X97" s="674">
        <v>0</v>
      </c>
      <c r="Y97" s="674">
        <v>0</v>
      </c>
      <c r="Z97" s="674">
        <v>0</v>
      </c>
      <c r="AA97" s="674">
        <v>752</v>
      </c>
      <c r="AB97" s="815">
        <v>0</v>
      </c>
      <c r="AC97" s="674">
        <v>0</v>
      </c>
      <c r="AD97" s="674">
        <v>0</v>
      </c>
      <c r="AE97" s="674">
        <v>0</v>
      </c>
      <c r="AF97" s="674">
        <v>0</v>
      </c>
      <c r="AG97" s="674">
        <v>0</v>
      </c>
      <c r="AH97" s="674">
        <v>0</v>
      </c>
      <c r="AI97" s="674">
        <v>878.52489000000003</v>
      </c>
      <c r="AJ97" s="674">
        <v>0.73299899999999996</v>
      </c>
      <c r="AK97" s="674">
        <v>0</v>
      </c>
      <c r="AL97" s="674">
        <v>0</v>
      </c>
      <c r="AM97" s="674">
        <v>2046</v>
      </c>
      <c r="AN97" s="674">
        <v>5.5333333333333332</v>
      </c>
      <c r="AO97" s="696">
        <f t="shared" si="26"/>
        <v>7624.8248899999999</v>
      </c>
      <c r="AP97" s="696">
        <f t="shared" si="26"/>
        <v>43.016332333333331</v>
      </c>
      <c r="AQ97" s="693">
        <v>0</v>
      </c>
      <c r="AR97" s="687">
        <v>0</v>
      </c>
      <c r="AT97" s="717"/>
      <c r="AU97" s="717"/>
      <c r="AV97" s="717"/>
      <c r="AW97" s="717"/>
      <c r="AX97" s="717"/>
      <c r="AY97" s="717"/>
      <c r="AZ97" s="717"/>
      <c r="BA97" s="717"/>
      <c r="BB97" s="717"/>
      <c r="BC97" s="717"/>
    </row>
    <row r="98" spans="1:55" ht="24.95" customHeight="1">
      <c r="A98" s="445"/>
      <c r="B98" s="440" t="s">
        <v>124</v>
      </c>
      <c r="C98" s="671"/>
      <c r="D98" s="671"/>
      <c r="E98" s="671"/>
      <c r="F98" s="671"/>
      <c r="G98" s="671"/>
      <c r="H98" s="671"/>
      <c r="I98" s="671"/>
      <c r="J98" s="671"/>
      <c r="K98" s="671"/>
      <c r="L98" s="671"/>
      <c r="M98" s="671"/>
      <c r="N98" s="671"/>
      <c r="O98" s="671"/>
      <c r="P98" s="671"/>
      <c r="Q98" s="671"/>
      <c r="R98" s="671"/>
      <c r="S98" s="671"/>
      <c r="T98" s="671"/>
      <c r="U98" s="671"/>
      <c r="V98" s="671"/>
      <c r="W98" s="671"/>
      <c r="X98" s="671"/>
      <c r="Y98" s="671"/>
      <c r="Z98" s="671"/>
      <c r="AA98" s="671"/>
      <c r="AB98" s="812"/>
      <c r="AC98" s="671"/>
      <c r="AD98" s="671"/>
      <c r="AE98" s="671"/>
      <c r="AF98" s="671"/>
      <c r="AG98" s="671"/>
      <c r="AH98" s="671"/>
      <c r="AI98" s="671"/>
      <c r="AJ98" s="671"/>
      <c r="AK98" s="671"/>
      <c r="AL98" s="671"/>
      <c r="AM98" s="671"/>
      <c r="AN98" s="671"/>
      <c r="AO98" s="671"/>
      <c r="AP98" s="671"/>
      <c r="AQ98" s="690"/>
      <c r="AR98" s="672"/>
      <c r="AT98" s="717"/>
      <c r="AU98" s="717"/>
      <c r="AV98" s="717"/>
      <c r="AW98" s="717"/>
      <c r="AX98" s="717"/>
      <c r="AY98" s="717"/>
      <c r="AZ98" s="717"/>
      <c r="BA98" s="717"/>
      <c r="BB98" s="717"/>
      <c r="BC98" s="717"/>
    </row>
    <row r="99" spans="1:55" ht="24.95" customHeight="1">
      <c r="A99" s="445">
        <v>16</v>
      </c>
      <c r="B99" s="441" t="s">
        <v>129</v>
      </c>
      <c r="C99" s="675">
        <v>3206.47</v>
      </c>
      <c r="D99" s="675">
        <v>179.35</v>
      </c>
      <c r="E99" s="675">
        <v>2077.5</v>
      </c>
      <c r="F99" s="675">
        <v>56</v>
      </c>
      <c r="G99" s="675">
        <v>2122.4</v>
      </c>
      <c r="H99" s="675">
        <v>21.7</v>
      </c>
      <c r="I99" s="675">
        <v>2826.7000000000003</v>
      </c>
      <c r="J99" s="675">
        <v>117.7</v>
      </c>
      <c r="K99" s="675">
        <v>4421.45</v>
      </c>
      <c r="L99" s="675">
        <v>65</v>
      </c>
      <c r="M99" s="675">
        <v>2456.2800000000002</v>
      </c>
      <c r="N99" s="675">
        <v>263.52999999999997</v>
      </c>
      <c r="O99" s="675">
        <v>127</v>
      </c>
      <c r="P99" s="675">
        <v>0</v>
      </c>
      <c r="Q99" s="675">
        <v>5294.2139999999999</v>
      </c>
      <c r="R99" s="675">
        <v>122.52249999999999</v>
      </c>
      <c r="S99" s="675">
        <v>3301.5</v>
      </c>
      <c r="T99" s="675">
        <v>18.123999999999999</v>
      </c>
      <c r="U99" s="675">
        <v>1567</v>
      </c>
      <c r="V99" s="675">
        <v>337.1</v>
      </c>
      <c r="W99" s="675">
        <v>0</v>
      </c>
      <c r="X99" s="675">
        <v>2144.6999999999998</v>
      </c>
      <c r="Y99" s="675">
        <v>396.5</v>
      </c>
      <c r="Z99" s="675">
        <v>10.26</v>
      </c>
      <c r="AA99" s="675">
        <v>1316</v>
      </c>
      <c r="AB99" s="813">
        <v>78.474999999999994</v>
      </c>
      <c r="AC99" s="675">
        <v>0</v>
      </c>
      <c r="AD99" s="675">
        <v>0</v>
      </c>
      <c r="AE99" s="675">
        <v>966.5</v>
      </c>
      <c r="AF99" s="675">
        <v>35</v>
      </c>
      <c r="AG99" s="675">
        <v>1497.43</v>
      </c>
      <c r="AH99" s="675">
        <v>2.21</v>
      </c>
      <c r="AI99" s="675">
        <v>1651.973999</v>
      </c>
      <c r="AJ99" s="675">
        <v>15.343000000000002</v>
      </c>
      <c r="AK99" s="675">
        <v>4444.17</v>
      </c>
      <c r="AL99" s="675">
        <v>109.08</v>
      </c>
      <c r="AM99" s="675">
        <v>3126.4999999999982</v>
      </c>
      <c r="AN99" s="675">
        <v>324.93333333333339</v>
      </c>
      <c r="AO99" s="676">
        <f>SUMIF($C$70:$AN$70,AO$70,$C99:$AN99)</f>
        <v>40799.587998999996</v>
      </c>
      <c r="AP99" s="676">
        <f>SUMIF($C$70:$AN$70,AP$70,$C99:$AN99)</f>
        <v>3901.0278333333331</v>
      </c>
      <c r="AQ99" s="691">
        <v>0</v>
      </c>
      <c r="AR99" s="685">
        <v>1386</v>
      </c>
      <c r="AT99" s="717"/>
      <c r="AU99" s="717"/>
      <c r="AV99" s="717"/>
      <c r="AW99" s="717"/>
      <c r="AX99" s="717"/>
      <c r="AY99" s="717"/>
      <c r="AZ99" s="717"/>
      <c r="BA99" s="717"/>
      <c r="BB99" s="717"/>
      <c r="BC99" s="717"/>
    </row>
    <row r="100" spans="1:55" ht="24.95" customHeight="1">
      <c r="A100" s="445">
        <v>17</v>
      </c>
      <c r="B100" s="441" t="s">
        <v>127</v>
      </c>
      <c r="C100" s="675">
        <v>4962.7</v>
      </c>
      <c r="D100" s="675">
        <v>400.47</v>
      </c>
      <c r="E100" s="675">
        <v>1811.5</v>
      </c>
      <c r="F100" s="675">
        <v>79.3</v>
      </c>
      <c r="G100" s="675">
        <v>3463.6</v>
      </c>
      <c r="H100" s="675">
        <v>413.1</v>
      </c>
      <c r="I100" s="675">
        <v>3773.5</v>
      </c>
      <c r="J100" s="675">
        <v>411.9</v>
      </c>
      <c r="K100" s="675">
        <v>7183.5499999999993</v>
      </c>
      <c r="L100" s="675">
        <v>270.39999999999998</v>
      </c>
      <c r="M100" s="675">
        <v>6206.0499999999993</v>
      </c>
      <c r="N100" s="675">
        <v>442.34</v>
      </c>
      <c r="O100" s="675">
        <v>1053.5</v>
      </c>
      <c r="P100" s="675">
        <v>10.25</v>
      </c>
      <c r="Q100" s="675">
        <v>7142.5209999999997</v>
      </c>
      <c r="R100" s="675">
        <v>462.97250000000003</v>
      </c>
      <c r="S100" s="675">
        <v>1341.5</v>
      </c>
      <c r="T100" s="675">
        <v>7.54</v>
      </c>
      <c r="U100" s="675">
        <v>2503</v>
      </c>
      <c r="V100" s="675">
        <v>454.79999999999995</v>
      </c>
      <c r="W100" s="675">
        <v>0</v>
      </c>
      <c r="X100" s="675">
        <v>3721.7999999999997</v>
      </c>
      <c r="Y100" s="675">
        <v>2268</v>
      </c>
      <c r="Z100" s="675">
        <v>65.5</v>
      </c>
      <c r="AA100" s="675">
        <v>4773.75</v>
      </c>
      <c r="AB100" s="813">
        <v>407.5</v>
      </c>
      <c r="AC100" s="675">
        <v>547</v>
      </c>
      <c r="AD100" s="675">
        <v>0</v>
      </c>
      <c r="AE100" s="675">
        <v>317</v>
      </c>
      <c r="AF100" s="675">
        <v>3</v>
      </c>
      <c r="AG100" s="675">
        <v>1928.03</v>
      </c>
      <c r="AH100" s="675">
        <v>80.34</v>
      </c>
      <c r="AI100" s="675">
        <v>2879.6819</v>
      </c>
      <c r="AJ100" s="675">
        <v>97.354699999999994</v>
      </c>
      <c r="AK100" s="675">
        <v>5251.83</v>
      </c>
      <c r="AL100" s="675">
        <v>302.64999999999998</v>
      </c>
      <c r="AM100" s="675">
        <v>4515</v>
      </c>
      <c r="AN100" s="675">
        <v>730.33333333333405</v>
      </c>
      <c r="AO100" s="676">
        <f>SUMIF($C$70:$AN$70,AO$70,$C100:$AN100)</f>
        <v>61921.712899999999</v>
      </c>
      <c r="AP100" s="676">
        <f>SUMIF($C$70:$AN$70,AP$70,$C100:$AN100)</f>
        <v>8361.5505333333331</v>
      </c>
      <c r="AQ100" s="691">
        <v>0</v>
      </c>
      <c r="AR100" s="685">
        <v>2462.8000000000002</v>
      </c>
      <c r="AT100" s="717"/>
      <c r="AU100" s="717"/>
      <c r="AV100" s="717"/>
      <c r="AW100" s="717"/>
      <c r="AX100" s="717"/>
      <c r="AY100" s="717"/>
      <c r="AZ100" s="717"/>
      <c r="BA100" s="717"/>
      <c r="BB100" s="717"/>
      <c r="BC100" s="717"/>
    </row>
    <row r="101" spans="1:55" ht="30" customHeight="1">
      <c r="A101" s="222"/>
      <c r="B101" s="440" t="s">
        <v>2</v>
      </c>
      <c r="C101" s="676">
        <f>SUM(C88:C100)</f>
        <v>9580.6699999999983</v>
      </c>
      <c r="D101" s="676">
        <f t="shared" ref="D101:O101" si="27">SUM(D88:D100)</f>
        <v>582.95000000000005</v>
      </c>
      <c r="E101" s="676">
        <f t="shared" si="27"/>
        <v>3889</v>
      </c>
      <c r="F101" s="676">
        <f t="shared" si="27"/>
        <v>135.30000000000001</v>
      </c>
      <c r="G101" s="676">
        <f t="shared" si="27"/>
        <v>8032.3000000000011</v>
      </c>
      <c r="H101" s="676">
        <f t="shared" si="27"/>
        <v>437.55</v>
      </c>
      <c r="I101" s="676">
        <f t="shared" si="27"/>
        <v>8137.2000000000007</v>
      </c>
      <c r="J101" s="676">
        <f t="shared" si="27"/>
        <v>529.6</v>
      </c>
      <c r="K101" s="676">
        <f t="shared" si="27"/>
        <v>13479</v>
      </c>
      <c r="L101" s="676">
        <f t="shared" si="27"/>
        <v>336.26666699999998</v>
      </c>
      <c r="M101" s="676">
        <f t="shared" si="27"/>
        <v>9954.33</v>
      </c>
      <c r="N101" s="676">
        <f t="shared" si="27"/>
        <v>742.36999999999989</v>
      </c>
      <c r="O101" s="676">
        <f t="shared" si="27"/>
        <v>1180.5</v>
      </c>
      <c r="P101" s="676">
        <f t="shared" ref="P101:AR101" si="28">SUM(P88:P100)</f>
        <v>10.25</v>
      </c>
      <c r="Q101" s="676">
        <f t="shared" si="28"/>
        <v>14711.901999999998</v>
      </c>
      <c r="R101" s="676">
        <f t="shared" si="28"/>
        <v>597.06200000000001</v>
      </c>
      <c r="S101" s="676">
        <f t="shared" si="28"/>
        <v>4643</v>
      </c>
      <c r="T101" s="676">
        <f t="shared" si="28"/>
        <v>25.663999999999998</v>
      </c>
      <c r="U101" s="676">
        <f t="shared" si="28"/>
        <v>4070</v>
      </c>
      <c r="V101" s="676">
        <f t="shared" si="28"/>
        <v>791.9</v>
      </c>
      <c r="W101" s="676">
        <f t="shared" si="28"/>
        <v>0</v>
      </c>
      <c r="X101" s="676">
        <f t="shared" si="28"/>
        <v>5866.5</v>
      </c>
      <c r="Y101" s="676">
        <f t="shared" si="28"/>
        <v>2664.5</v>
      </c>
      <c r="Z101" s="676">
        <f t="shared" si="28"/>
        <v>75.760000000000005</v>
      </c>
      <c r="AA101" s="676">
        <f t="shared" si="28"/>
        <v>6841.75</v>
      </c>
      <c r="AB101" s="814">
        <f t="shared" si="28"/>
        <v>485.97500000000002</v>
      </c>
      <c r="AC101" s="676">
        <f t="shared" si="28"/>
        <v>636</v>
      </c>
      <c r="AD101" s="676">
        <f t="shared" si="28"/>
        <v>0</v>
      </c>
      <c r="AE101" s="676">
        <f t="shared" si="28"/>
        <v>1283.5</v>
      </c>
      <c r="AF101" s="676">
        <f t="shared" si="28"/>
        <v>38</v>
      </c>
      <c r="AG101" s="676">
        <f t="shared" si="28"/>
        <v>3726.96</v>
      </c>
      <c r="AH101" s="676">
        <f t="shared" si="28"/>
        <v>82.55</v>
      </c>
      <c r="AI101" s="676">
        <f t="shared" si="28"/>
        <v>5581.180789</v>
      </c>
      <c r="AJ101" s="676">
        <f t="shared" si="28"/>
        <v>114.509699</v>
      </c>
      <c r="AK101" s="676">
        <f t="shared" si="28"/>
        <v>10262</v>
      </c>
      <c r="AL101" s="676">
        <f t="shared" si="28"/>
        <v>411.72999999999996</v>
      </c>
      <c r="AM101" s="676">
        <f t="shared" si="28"/>
        <v>9950.4999999999982</v>
      </c>
      <c r="AN101" s="676">
        <f t="shared" si="28"/>
        <v>1062.4000000000008</v>
      </c>
      <c r="AO101" s="676">
        <f t="shared" si="28"/>
        <v>118624.292789</v>
      </c>
      <c r="AP101" s="676">
        <f t="shared" si="28"/>
        <v>12326.337366</v>
      </c>
      <c r="AQ101" s="692">
        <f t="shared" si="28"/>
        <v>0</v>
      </c>
      <c r="AR101" s="686">
        <f t="shared" si="28"/>
        <v>3848.8</v>
      </c>
      <c r="AT101" s="717"/>
      <c r="AU101" s="717"/>
      <c r="AV101" s="717"/>
      <c r="AW101" s="717"/>
      <c r="AX101" s="717"/>
      <c r="AY101" s="717"/>
      <c r="AZ101" s="717"/>
      <c r="BA101" s="717"/>
      <c r="BB101" s="717"/>
      <c r="BC101" s="717"/>
    </row>
    <row r="102" spans="1:55" ht="30" customHeight="1" thickBot="1">
      <c r="A102" s="450">
        <v>18</v>
      </c>
      <c r="B102" s="444" t="s">
        <v>130</v>
      </c>
      <c r="C102" s="677">
        <f>SUM(C73,C78,C84,C101)</f>
        <v>10522.929999999998</v>
      </c>
      <c r="D102" s="677">
        <f t="shared" ref="D102:O102" si="29">SUM(D73,D78,D84,D101)</f>
        <v>826.03000000000009</v>
      </c>
      <c r="E102" s="677">
        <f t="shared" si="29"/>
        <v>3986</v>
      </c>
      <c r="F102" s="677">
        <f t="shared" si="29"/>
        <v>227.20000000000002</v>
      </c>
      <c r="G102" s="677">
        <f t="shared" si="29"/>
        <v>8911.7000000000007</v>
      </c>
      <c r="H102" s="677">
        <f t="shared" si="29"/>
        <v>993.84999999999991</v>
      </c>
      <c r="I102" s="677">
        <f t="shared" si="29"/>
        <v>8725.2000000000007</v>
      </c>
      <c r="J102" s="677">
        <f t="shared" si="29"/>
        <v>795.1</v>
      </c>
      <c r="K102" s="677">
        <f t="shared" si="29"/>
        <v>16610.54</v>
      </c>
      <c r="L102" s="677">
        <f t="shared" si="29"/>
        <v>803.67699700000003</v>
      </c>
      <c r="M102" s="677">
        <f t="shared" si="29"/>
        <v>10325.33</v>
      </c>
      <c r="N102" s="677">
        <f t="shared" si="29"/>
        <v>899.56</v>
      </c>
      <c r="O102" s="677">
        <f t="shared" si="29"/>
        <v>1372</v>
      </c>
      <c r="P102" s="677">
        <f t="shared" ref="P102:AR102" si="30">SUM(P73,P78,P84,P101)</f>
        <v>20.05</v>
      </c>
      <c r="Q102" s="677">
        <f t="shared" si="30"/>
        <v>16797.496999999999</v>
      </c>
      <c r="R102" s="677">
        <f t="shared" si="30"/>
        <v>1200.67</v>
      </c>
      <c r="S102" s="677">
        <f t="shared" si="30"/>
        <v>5462.11</v>
      </c>
      <c r="T102" s="677">
        <f t="shared" si="30"/>
        <v>105.054</v>
      </c>
      <c r="U102" s="677">
        <f t="shared" si="30"/>
        <v>4129.5</v>
      </c>
      <c r="V102" s="677">
        <f t="shared" si="30"/>
        <v>878.09999999999991</v>
      </c>
      <c r="W102" s="677">
        <f t="shared" si="30"/>
        <v>5</v>
      </c>
      <c r="X102" s="677">
        <f t="shared" si="30"/>
        <v>6034.2</v>
      </c>
      <c r="Y102" s="677">
        <f t="shared" si="30"/>
        <v>2815.5</v>
      </c>
      <c r="Z102" s="677">
        <f t="shared" si="30"/>
        <v>264.49</v>
      </c>
      <c r="AA102" s="677">
        <f t="shared" si="30"/>
        <v>7049.0820000000003</v>
      </c>
      <c r="AB102" s="816">
        <f t="shared" si="30"/>
        <v>685.02099999999996</v>
      </c>
      <c r="AC102" s="677">
        <f t="shared" si="30"/>
        <v>718</v>
      </c>
      <c r="AD102" s="677">
        <f t="shared" si="30"/>
        <v>4</v>
      </c>
      <c r="AE102" s="677">
        <f t="shared" si="30"/>
        <v>1283.5</v>
      </c>
      <c r="AF102" s="677">
        <f t="shared" si="30"/>
        <v>55</v>
      </c>
      <c r="AG102" s="677">
        <f t="shared" si="30"/>
        <v>4507.71</v>
      </c>
      <c r="AH102" s="677">
        <f t="shared" si="30"/>
        <v>174.07999999999998</v>
      </c>
      <c r="AI102" s="677">
        <f t="shared" si="30"/>
        <v>6033.5167890000002</v>
      </c>
      <c r="AJ102" s="677">
        <f t="shared" si="30"/>
        <v>351.96569900000003</v>
      </c>
      <c r="AK102" s="677">
        <f t="shared" si="30"/>
        <v>11905.29</v>
      </c>
      <c r="AL102" s="677">
        <f t="shared" si="30"/>
        <v>603.53</v>
      </c>
      <c r="AM102" s="677">
        <f t="shared" si="30"/>
        <v>10494.999999999998</v>
      </c>
      <c r="AN102" s="677">
        <f t="shared" si="30"/>
        <v>1354.6000000000008</v>
      </c>
      <c r="AO102" s="677">
        <f t="shared" si="30"/>
        <v>131655.40578900001</v>
      </c>
      <c r="AP102" s="677">
        <f t="shared" si="30"/>
        <v>16276.177695999999</v>
      </c>
      <c r="AQ102" s="694">
        <f t="shared" si="30"/>
        <v>4</v>
      </c>
      <c r="AR102" s="688">
        <f t="shared" si="30"/>
        <v>3975.7000000000003</v>
      </c>
      <c r="AT102" s="717"/>
      <c r="AU102" s="717"/>
      <c r="AV102" s="717"/>
      <c r="AW102" s="717"/>
      <c r="AX102" s="717"/>
      <c r="AY102" s="717"/>
      <c r="AZ102" s="717"/>
      <c r="BA102" s="717"/>
      <c r="BB102" s="717"/>
      <c r="BC102" s="717"/>
    </row>
    <row r="103" spans="1:55" ht="24.95" customHeight="1">
      <c r="A103" s="434" t="s">
        <v>143</v>
      </c>
      <c r="C103" s="678">
        <v>10522.929999999998</v>
      </c>
      <c r="D103" s="678">
        <v>826.03000000000009</v>
      </c>
      <c r="E103" s="678">
        <v>3986</v>
      </c>
      <c r="F103" s="678">
        <v>227.20000000000002</v>
      </c>
      <c r="G103" s="678">
        <v>8911.7000000000007</v>
      </c>
      <c r="H103" s="678">
        <v>993.84999999999991</v>
      </c>
      <c r="I103" s="678">
        <v>8725.2000000000007</v>
      </c>
      <c r="J103" s="678">
        <v>795.1</v>
      </c>
      <c r="K103" s="678">
        <v>16610.54</v>
      </c>
      <c r="L103" s="678">
        <v>803.67699700000003</v>
      </c>
      <c r="M103" s="678">
        <v>10325.33</v>
      </c>
      <c r="N103" s="678">
        <v>899.56</v>
      </c>
      <c r="O103" s="678">
        <v>1372</v>
      </c>
      <c r="P103" s="678">
        <v>20.05</v>
      </c>
      <c r="Q103" s="678">
        <v>16797.496999999999</v>
      </c>
      <c r="R103" s="678">
        <v>1200.67</v>
      </c>
      <c r="S103" s="678">
        <v>5462.11</v>
      </c>
      <c r="T103" s="678">
        <v>105.054</v>
      </c>
      <c r="U103" s="678">
        <v>4129.5</v>
      </c>
      <c r="V103" s="678">
        <v>878.09999999999991</v>
      </c>
      <c r="W103" s="678">
        <v>5</v>
      </c>
      <c r="X103" s="678">
        <v>6034.2</v>
      </c>
      <c r="Y103" s="678">
        <v>2815.5</v>
      </c>
      <c r="Z103" s="678">
        <v>264.49</v>
      </c>
      <c r="AA103" s="678">
        <v>7049.0820000000003</v>
      </c>
      <c r="AB103" s="678">
        <v>685.02099999999996</v>
      </c>
      <c r="AC103" s="678">
        <v>718</v>
      </c>
      <c r="AD103" s="678">
        <v>4</v>
      </c>
      <c r="AE103" s="678">
        <v>1283.5</v>
      </c>
      <c r="AF103" s="678">
        <v>55</v>
      </c>
      <c r="AG103" s="678">
        <v>4507.71</v>
      </c>
      <c r="AH103" s="678">
        <v>174.07999999999998</v>
      </c>
      <c r="AI103" s="678">
        <v>6033.5167890000002</v>
      </c>
      <c r="AJ103" s="678">
        <v>351.96569900000003</v>
      </c>
      <c r="AK103" s="678">
        <v>11905.29</v>
      </c>
      <c r="AL103" s="678">
        <v>603.53</v>
      </c>
      <c r="AM103" s="678">
        <v>10494.999999999998</v>
      </c>
      <c r="AN103" s="678">
        <v>1354.6000000000008</v>
      </c>
      <c r="AO103" s="678">
        <v>131655.40578899998</v>
      </c>
      <c r="AP103" s="678">
        <v>16276.177695999999</v>
      </c>
      <c r="AQ103" s="678">
        <v>4</v>
      </c>
      <c r="AR103" s="678">
        <v>3975.7000000000003</v>
      </c>
    </row>
    <row r="105" spans="1:55" ht="20.100000000000001" customHeight="1">
      <c r="A105" s="421" t="s">
        <v>384</v>
      </c>
    </row>
    <row r="107" spans="1:55" ht="20.100000000000001" customHeight="1">
      <c r="A107" s="371" t="s">
        <v>181</v>
      </c>
    </row>
    <row r="108" spans="1:55" ht="20.100000000000001" customHeight="1">
      <c r="A108" s="370">
        <v>1</v>
      </c>
      <c r="B108" s="370">
        <v>2</v>
      </c>
      <c r="C108" s="370">
        <v>3</v>
      </c>
      <c r="D108" s="370">
        <v>4</v>
      </c>
      <c r="E108" s="370">
        <v>5</v>
      </c>
      <c r="F108" s="370">
        <v>6</v>
      </c>
      <c r="G108" s="370">
        <v>7</v>
      </c>
      <c r="H108" s="370">
        <v>8</v>
      </c>
      <c r="I108" s="370">
        <v>9</v>
      </c>
      <c r="J108" s="370">
        <v>10</v>
      </c>
      <c r="K108" s="370">
        <v>11</v>
      </c>
      <c r="L108" s="370">
        <v>12</v>
      </c>
      <c r="M108" s="370">
        <v>13</v>
      </c>
      <c r="N108" s="370">
        <v>14</v>
      </c>
      <c r="O108" s="370">
        <v>15</v>
      </c>
      <c r="P108" s="370">
        <v>16</v>
      </c>
      <c r="Q108" s="370">
        <v>17</v>
      </c>
      <c r="R108" s="370">
        <v>18</v>
      </c>
      <c r="S108" s="370">
        <v>19</v>
      </c>
      <c r="T108" s="370">
        <v>20</v>
      </c>
      <c r="U108" s="370">
        <v>21</v>
      </c>
      <c r="V108" s="370">
        <v>22</v>
      </c>
      <c r="W108" s="370">
        <v>23</v>
      </c>
      <c r="X108" s="370">
        <v>24</v>
      </c>
      <c r="Y108" s="370">
        <v>25</v>
      </c>
      <c r="Z108" s="370">
        <v>26</v>
      </c>
      <c r="AA108" s="370">
        <v>27</v>
      </c>
      <c r="AB108" s="370">
        <v>28</v>
      </c>
      <c r="AC108" s="370">
        <v>29</v>
      </c>
      <c r="AD108" s="370">
        <v>30</v>
      </c>
      <c r="AE108" s="370">
        <v>31</v>
      </c>
      <c r="AF108" s="370">
        <v>32</v>
      </c>
      <c r="AG108" s="370">
        <v>33</v>
      </c>
      <c r="AH108" s="370">
        <v>34</v>
      </c>
      <c r="AI108" s="370">
        <v>35</v>
      </c>
      <c r="AJ108" s="370">
        <v>36</v>
      </c>
      <c r="AK108" s="370">
        <v>37</v>
      </c>
      <c r="AL108" s="370">
        <v>38</v>
      </c>
      <c r="AM108" s="370">
        <v>39</v>
      </c>
      <c r="AN108" s="370">
        <v>40</v>
      </c>
      <c r="AO108" s="370">
        <v>41</v>
      </c>
      <c r="AP108" s="370">
        <v>42</v>
      </c>
      <c r="AQ108" s="370">
        <v>43</v>
      </c>
      <c r="AR108" s="370">
        <v>44</v>
      </c>
    </row>
    <row r="109" spans="1:55" ht="16.5" thickBot="1"/>
    <row r="110" spans="1:55" ht="60" customHeight="1">
      <c r="A110" s="221"/>
      <c r="B110" s="423"/>
      <c r="C110" s="1315" t="s">
        <v>210</v>
      </c>
      <c r="D110" s="1311"/>
      <c r="E110" s="1307" t="s">
        <v>211</v>
      </c>
      <c r="F110" s="1314"/>
      <c r="G110" s="1315" t="s">
        <v>212</v>
      </c>
      <c r="H110" s="1311"/>
      <c r="I110" s="1316" t="s">
        <v>223</v>
      </c>
      <c r="J110" s="1314"/>
      <c r="K110" s="1315" t="s">
        <v>222</v>
      </c>
      <c r="L110" s="1311"/>
      <c r="M110" s="1307" t="s">
        <v>221</v>
      </c>
      <c r="N110" s="1311"/>
      <c r="O110" s="1309" t="s">
        <v>70</v>
      </c>
      <c r="P110" s="1314"/>
      <c r="Q110" s="1310" t="s">
        <v>71</v>
      </c>
      <c r="R110" s="1314"/>
      <c r="S110" s="1315" t="s">
        <v>224</v>
      </c>
      <c r="T110" s="1311"/>
      <c r="U110" s="1307" t="s">
        <v>220</v>
      </c>
      <c r="V110" s="1315"/>
      <c r="W110" s="1307" t="s">
        <v>227</v>
      </c>
      <c r="X110" s="1311"/>
      <c r="Y110" s="1307" t="s">
        <v>218</v>
      </c>
      <c r="Z110" s="1308"/>
      <c r="AA110" s="1307" t="s">
        <v>217</v>
      </c>
      <c r="AB110" s="1308"/>
      <c r="AC110" s="1312" t="s">
        <v>219</v>
      </c>
      <c r="AD110" s="1313"/>
      <c r="AE110" s="1309" t="s">
        <v>295</v>
      </c>
      <c r="AF110" s="1314"/>
      <c r="AG110" s="1307" t="s">
        <v>216</v>
      </c>
      <c r="AH110" s="1308"/>
      <c r="AI110" s="1307" t="s">
        <v>215</v>
      </c>
      <c r="AJ110" s="1308"/>
      <c r="AK110" s="1307" t="s">
        <v>214</v>
      </c>
      <c r="AL110" s="1308"/>
      <c r="AM110" s="1307" t="s">
        <v>213</v>
      </c>
      <c r="AN110" s="1308"/>
      <c r="AO110" s="1309" t="s">
        <v>2</v>
      </c>
      <c r="AP110" s="1310"/>
      <c r="AQ110" s="1305" t="s">
        <v>228</v>
      </c>
      <c r="AR110" s="1306"/>
    </row>
    <row r="111" spans="1:55" ht="24.95" customHeight="1">
      <c r="A111" s="222"/>
      <c r="B111" s="424" t="s">
        <v>229</v>
      </c>
      <c r="C111" s="220" t="s">
        <v>64</v>
      </c>
      <c r="D111" s="426" t="s">
        <v>49</v>
      </c>
      <c r="E111" s="426" t="s">
        <v>64</v>
      </c>
      <c r="F111" s="426" t="s">
        <v>49</v>
      </c>
      <c r="G111" s="426" t="s">
        <v>64</v>
      </c>
      <c r="H111" s="426" t="s">
        <v>49</v>
      </c>
      <c r="I111" s="426" t="s">
        <v>64</v>
      </c>
      <c r="J111" s="426" t="s">
        <v>49</v>
      </c>
      <c r="K111" s="426" t="s">
        <v>64</v>
      </c>
      <c r="L111" s="426" t="s">
        <v>49</v>
      </c>
      <c r="M111" s="426" t="s">
        <v>64</v>
      </c>
      <c r="N111" s="426" t="s">
        <v>49</v>
      </c>
      <c r="O111" s="426" t="s">
        <v>64</v>
      </c>
      <c r="P111" s="426" t="s">
        <v>49</v>
      </c>
      <c r="Q111" s="426" t="s">
        <v>64</v>
      </c>
      <c r="R111" s="426" t="s">
        <v>49</v>
      </c>
      <c r="S111" s="426" t="s">
        <v>64</v>
      </c>
      <c r="T111" s="426" t="s">
        <v>49</v>
      </c>
      <c r="U111" s="426" t="s">
        <v>64</v>
      </c>
      <c r="V111" s="426" t="s">
        <v>49</v>
      </c>
      <c r="W111" s="426" t="s">
        <v>64</v>
      </c>
      <c r="X111" s="426" t="s">
        <v>49</v>
      </c>
      <c r="Y111" s="426" t="s">
        <v>64</v>
      </c>
      <c r="Z111" s="426" t="s">
        <v>49</v>
      </c>
      <c r="AA111" s="426" t="s">
        <v>64</v>
      </c>
      <c r="AB111" s="426" t="s">
        <v>49</v>
      </c>
      <c r="AC111" s="426" t="s">
        <v>64</v>
      </c>
      <c r="AD111" s="426" t="s">
        <v>49</v>
      </c>
      <c r="AE111" s="426" t="s">
        <v>64</v>
      </c>
      <c r="AF111" s="426" t="s">
        <v>49</v>
      </c>
      <c r="AG111" s="426" t="s">
        <v>64</v>
      </c>
      <c r="AH111" s="426" t="s">
        <v>49</v>
      </c>
      <c r="AI111" s="426" t="s">
        <v>64</v>
      </c>
      <c r="AJ111" s="426" t="s">
        <v>49</v>
      </c>
      <c r="AK111" s="426" t="s">
        <v>64</v>
      </c>
      <c r="AL111" s="426" t="s">
        <v>49</v>
      </c>
      <c r="AM111" s="426" t="s">
        <v>64</v>
      </c>
      <c r="AN111" s="426" t="s">
        <v>49</v>
      </c>
      <c r="AO111" s="426" t="s">
        <v>64</v>
      </c>
      <c r="AP111" s="427" t="s">
        <v>49</v>
      </c>
      <c r="AQ111" s="818" t="s">
        <v>64</v>
      </c>
      <c r="AR111" s="427" t="s">
        <v>49</v>
      </c>
    </row>
    <row r="112" spans="1:55" ht="24.95" customHeight="1">
      <c r="A112" s="429"/>
      <c r="B112" s="425"/>
      <c r="C112" s="220" t="s">
        <v>32</v>
      </c>
      <c r="D112" s="198" t="s">
        <v>32</v>
      </c>
      <c r="E112" s="199" t="s">
        <v>32</v>
      </c>
      <c r="F112" s="198" t="s">
        <v>32</v>
      </c>
      <c r="G112" s="199" t="s">
        <v>32</v>
      </c>
      <c r="H112" s="200" t="s">
        <v>32</v>
      </c>
      <c r="I112" s="200" t="s">
        <v>32</v>
      </c>
      <c r="J112" s="200" t="s">
        <v>32</v>
      </c>
      <c r="K112" s="200" t="s">
        <v>32</v>
      </c>
      <c r="L112" s="200" t="s">
        <v>32</v>
      </c>
      <c r="M112" s="200" t="s">
        <v>32</v>
      </c>
      <c r="N112" s="200" t="s">
        <v>32</v>
      </c>
      <c r="O112" s="200" t="s">
        <v>32</v>
      </c>
      <c r="P112" s="199" t="s">
        <v>32</v>
      </c>
      <c r="Q112" s="200" t="s">
        <v>32</v>
      </c>
      <c r="R112" s="200" t="s">
        <v>32</v>
      </c>
      <c r="S112" s="200" t="s">
        <v>32</v>
      </c>
      <c r="T112" s="200" t="s">
        <v>32</v>
      </c>
      <c r="U112" s="200" t="s">
        <v>32</v>
      </c>
      <c r="V112" s="200" t="s">
        <v>32</v>
      </c>
      <c r="W112" s="199" t="s">
        <v>32</v>
      </c>
      <c r="X112" s="198" t="s">
        <v>32</v>
      </c>
      <c r="Y112" s="199" t="s">
        <v>32</v>
      </c>
      <c r="Z112" s="199" t="s">
        <v>32</v>
      </c>
      <c r="AA112" s="199" t="s">
        <v>32</v>
      </c>
      <c r="AB112" s="199" t="s">
        <v>32</v>
      </c>
      <c r="AC112" s="199" t="s">
        <v>32</v>
      </c>
      <c r="AD112" s="199" t="s">
        <v>32</v>
      </c>
      <c r="AE112" s="199" t="s">
        <v>32</v>
      </c>
      <c r="AF112" s="199" t="s">
        <v>32</v>
      </c>
      <c r="AG112" s="200" t="s">
        <v>32</v>
      </c>
      <c r="AH112" s="199" t="s">
        <v>32</v>
      </c>
      <c r="AI112" s="199" t="s">
        <v>32</v>
      </c>
      <c r="AJ112" s="199" t="s">
        <v>32</v>
      </c>
      <c r="AK112" s="199" t="s">
        <v>32</v>
      </c>
      <c r="AL112" s="199" t="s">
        <v>32</v>
      </c>
      <c r="AM112" s="220" t="s">
        <v>32</v>
      </c>
      <c r="AN112" s="199" t="s">
        <v>32</v>
      </c>
      <c r="AO112" s="198" t="s">
        <v>32</v>
      </c>
      <c r="AP112" s="213" t="s">
        <v>32</v>
      </c>
      <c r="AQ112" s="701" t="s">
        <v>32</v>
      </c>
      <c r="AR112" s="213" t="s">
        <v>32</v>
      </c>
    </row>
    <row r="113" spans="1:44" ht="24.95" customHeight="1">
      <c r="A113" s="430"/>
      <c r="B113" s="431"/>
      <c r="C113" s="432" t="s">
        <v>4</v>
      </c>
      <c r="D113" s="433" t="s">
        <v>5</v>
      </c>
      <c r="E113" s="201" t="s">
        <v>6</v>
      </c>
      <c r="F113" s="202" t="s">
        <v>7</v>
      </c>
      <c r="G113" s="202" t="s">
        <v>8</v>
      </c>
      <c r="H113" s="202" t="s">
        <v>9</v>
      </c>
      <c r="I113" s="202" t="s">
        <v>61</v>
      </c>
      <c r="J113" s="202" t="s">
        <v>62</v>
      </c>
      <c r="K113" s="201" t="s">
        <v>63</v>
      </c>
      <c r="L113" s="201" t="s">
        <v>10</v>
      </c>
      <c r="M113" s="201" t="s">
        <v>11</v>
      </c>
      <c r="N113" s="202" t="s">
        <v>12</v>
      </c>
      <c r="O113" s="202" t="s">
        <v>13</v>
      </c>
      <c r="P113" s="202" t="s">
        <v>14</v>
      </c>
      <c r="Q113" s="202" t="s">
        <v>15</v>
      </c>
      <c r="R113" s="202" t="s">
        <v>16</v>
      </c>
      <c r="S113" s="202" t="s">
        <v>17</v>
      </c>
      <c r="T113" s="202" t="s">
        <v>90</v>
      </c>
      <c r="U113" s="201" t="s">
        <v>91</v>
      </c>
      <c r="V113" s="204" t="s">
        <v>119</v>
      </c>
      <c r="W113" s="204" t="s">
        <v>120</v>
      </c>
      <c r="X113" s="201" t="s">
        <v>121</v>
      </c>
      <c r="Y113" s="435" t="s">
        <v>165</v>
      </c>
      <c r="Z113" s="202" t="s">
        <v>166</v>
      </c>
      <c r="AA113" s="428" t="s">
        <v>167</v>
      </c>
      <c r="AB113" s="202" t="s">
        <v>168</v>
      </c>
      <c r="AC113" s="202" t="s">
        <v>169</v>
      </c>
      <c r="AD113" s="202" t="s">
        <v>170</v>
      </c>
      <c r="AE113" s="201" t="s">
        <v>171</v>
      </c>
      <c r="AF113" s="202" t="s">
        <v>173</v>
      </c>
      <c r="AG113" s="428" t="s">
        <v>172</v>
      </c>
      <c r="AH113" s="202" t="s">
        <v>187</v>
      </c>
      <c r="AI113" s="202" t="s">
        <v>188</v>
      </c>
      <c r="AJ113" s="202" t="s">
        <v>189</v>
      </c>
      <c r="AK113" s="202" t="s">
        <v>190</v>
      </c>
      <c r="AL113" s="202" t="s">
        <v>191</v>
      </c>
      <c r="AM113" s="412" t="s">
        <v>192</v>
      </c>
      <c r="AN113" s="202" t="s">
        <v>204</v>
      </c>
      <c r="AO113" s="201" t="s">
        <v>225</v>
      </c>
      <c r="AP113" s="214" t="s">
        <v>226</v>
      </c>
      <c r="AQ113" s="819" t="s">
        <v>286</v>
      </c>
      <c r="AR113" s="214" t="s">
        <v>287</v>
      </c>
    </row>
    <row r="114" spans="1:44" ht="30" customHeight="1">
      <c r="A114" s="445">
        <v>1</v>
      </c>
      <c r="B114" s="438" t="s">
        <v>26</v>
      </c>
      <c r="C114" s="673">
        <v>482.2</v>
      </c>
      <c r="D114" s="673">
        <v>83.64</v>
      </c>
      <c r="E114" s="673">
        <v>27</v>
      </c>
      <c r="F114" s="673">
        <v>18</v>
      </c>
      <c r="G114" s="673">
        <v>306.40099999999995</v>
      </c>
      <c r="H114" s="673">
        <v>71.45</v>
      </c>
      <c r="I114" s="673">
        <v>75</v>
      </c>
      <c r="J114" s="673">
        <v>46</v>
      </c>
      <c r="K114" s="673">
        <v>1652.5</v>
      </c>
      <c r="L114" s="673">
        <v>193</v>
      </c>
      <c r="M114" s="673">
        <v>135</v>
      </c>
      <c r="N114" s="673">
        <v>53</v>
      </c>
      <c r="O114" s="673">
        <v>11</v>
      </c>
      <c r="P114" s="673">
        <v>3</v>
      </c>
      <c r="Q114" s="673">
        <v>1072.8</v>
      </c>
      <c r="R114" s="673">
        <v>177.28800000000001</v>
      </c>
      <c r="S114" s="673">
        <v>339.15</v>
      </c>
      <c r="T114" s="673">
        <v>22.7</v>
      </c>
      <c r="U114" s="673">
        <v>45.5</v>
      </c>
      <c r="V114" s="673">
        <v>12.85</v>
      </c>
      <c r="W114" s="673">
        <v>0</v>
      </c>
      <c r="X114" s="673">
        <v>0</v>
      </c>
      <c r="Y114" s="673">
        <v>32</v>
      </c>
      <c r="Z114" s="673">
        <v>19</v>
      </c>
      <c r="AA114" s="673">
        <v>45</v>
      </c>
      <c r="AB114" s="673">
        <v>34.200000000000003</v>
      </c>
      <c r="AC114" s="673">
        <v>3</v>
      </c>
      <c r="AD114" s="673">
        <v>4</v>
      </c>
      <c r="AE114" s="673">
        <v>0</v>
      </c>
      <c r="AF114" s="673">
        <v>0</v>
      </c>
      <c r="AG114" s="673">
        <v>466.8</v>
      </c>
      <c r="AH114" s="673">
        <v>33</v>
      </c>
      <c r="AI114" s="673">
        <v>182.33</v>
      </c>
      <c r="AJ114" s="673">
        <v>109.81</v>
      </c>
      <c r="AK114" s="673">
        <v>756.1</v>
      </c>
      <c r="AL114" s="673">
        <v>56.7</v>
      </c>
      <c r="AM114" s="673">
        <v>178</v>
      </c>
      <c r="AN114" s="673">
        <v>54.666666666666664</v>
      </c>
      <c r="AO114" s="695">
        <f>SUMIF($C$70:$AN$70,AO$70,$C114:$AN114)</f>
        <v>5809.7809999999999</v>
      </c>
      <c r="AP114" s="695">
        <f>SUMIF($C$70:$AN$70,AP$70,$C114:$AN114)</f>
        <v>992.30466666666678</v>
      </c>
      <c r="AQ114" s="972">
        <v>0</v>
      </c>
      <c r="AR114" s="684">
        <v>0</v>
      </c>
    </row>
    <row r="115" spans="1:44" ht="30" customHeight="1">
      <c r="A115" s="445"/>
      <c r="B115" s="439" t="s">
        <v>23</v>
      </c>
      <c r="C115" s="671"/>
      <c r="D115" s="671"/>
      <c r="E115" s="671"/>
      <c r="F115" s="671"/>
      <c r="G115" s="671"/>
      <c r="H115" s="671"/>
      <c r="I115" s="671"/>
      <c r="J115" s="671"/>
      <c r="K115" s="671"/>
      <c r="L115" s="671"/>
      <c r="M115" s="671"/>
      <c r="N115" s="671"/>
      <c r="O115" s="671"/>
      <c r="P115" s="671"/>
      <c r="Q115" s="671"/>
      <c r="R115" s="671"/>
      <c r="S115" s="671"/>
      <c r="T115" s="671"/>
      <c r="U115" s="671"/>
      <c r="V115" s="671"/>
      <c r="W115" s="671"/>
      <c r="X115" s="671"/>
      <c r="Y115" s="671"/>
      <c r="Z115" s="671"/>
      <c r="AA115" s="671"/>
      <c r="AB115" s="671"/>
      <c r="AC115" s="671"/>
      <c r="AD115" s="671"/>
      <c r="AE115" s="671"/>
      <c r="AF115" s="671"/>
      <c r="AG115" s="671"/>
      <c r="AH115" s="671"/>
      <c r="AI115" s="671"/>
      <c r="AJ115" s="671"/>
      <c r="AK115" s="671"/>
      <c r="AL115" s="671"/>
      <c r="AM115" s="671"/>
      <c r="AN115" s="671"/>
      <c r="AO115" s="671"/>
      <c r="AP115" s="671"/>
      <c r="AQ115" s="973"/>
      <c r="AR115" s="672"/>
    </row>
    <row r="116" spans="1:44" ht="24.95" customHeight="1">
      <c r="A116" s="445"/>
      <c r="B116" s="440" t="s">
        <v>122</v>
      </c>
      <c r="C116" s="671"/>
      <c r="D116" s="671"/>
      <c r="E116" s="671"/>
      <c r="F116" s="671"/>
      <c r="G116" s="671"/>
      <c r="H116" s="671"/>
      <c r="I116" s="671"/>
      <c r="J116" s="671"/>
      <c r="K116" s="671"/>
      <c r="L116" s="671"/>
      <c r="M116" s="671"/>
      <c r="N116" s="671"/>
      <c r="O116" s="671"/>
      <c r="P116" s="671"/>
      <c r="Q116" s="671"/>
      <c r="R116" s="671"/>
      <c r="S116" s="671"/>
      <c r="T116" s="671"/>
      <c r="U116" s="671"/>
      <c r="V116" s="671"/>
      <c r="W116" s="671"/>
      <c r="X116" s="671"/>
      <c r="Y116" s="671"/>
      <c r="Z116" s="671"/>
      <c r="AA116" s="671"/>
      <c r="AB116" s="671"/>
      <c r="AC116" s="671"/>
      <c r="AD116" s="671"/>
      <c r="AE116" s="671"/>
      <c r="AF116" s="671"/>
      <c r="AG116" s="671"/>
      <c r="AH116" s="671"/>
      <c r="AI116" s="671"/>
      <c r="AJ116" s="671"/>
      <c r="AK116" s="671"/>
      <c r="AL116" s="671"/>
      <c r="AM116" s="671"/>
      <c r="AN116" s="671"/>
      <c r="AO116" s="671"/>
      <c r="AP116" s="671"/>
      <c r="AQ116" s="973"/>
      <c r="AR116" s="672"/>
    </row>
    <row r="117" spans="1:44" ht="20.100000000000001" customHeight="1">
      <c r="A117" s="445">
        <v>2</v>
      </c>
      <c r="B117" s="441" t="s">
        <v>123</v>
      </c>
      <c r="C117" s="675">
        <v>0</v>
      </c>
      <c r="D117" s="675">
        <v>0</v>
      </c>
      <c r="E117" s="675">
        <v>0</v>
      </c>
      <c r="F117" s="675">
        <v>0</v>
      </c>
      <c r="G117" s="675">
        <v>0</v>
      </c>
      <c r="H117" s="675">
        <v>0</v>
      </c>
      <c r="I117" s="675">
        <v>0</v>
      </c>
      <c r="J117" s="675">
        <v>0</v>
      </c>
      <c r="K117" s="675">
        <v>0</v>
      </c>
      <c r="L117" s="675">
        <v>0</v>
      </c>
      <c r="M117" s="675">
        <v>5</v>
      </c>
      <c r="N117" s="675">
        <v>0</v>
      </c>
      <c r="O117" s="675">
        <v>0</v>
      </c>
      <c r="P117" s="675">
        <v>0</v>
      </c>
      <c r="Q117" s="675">
        <v>0</v>
      </c>
      <c r="R117" s="675">
        <v>0</v>
      </c>
      <c r="S117" s="675">
        <v>0</v>
      </c>
      <c r="T117" s="675">
        <v>0</v>
      </c>
      <c r="U117" s="675">
        <v>0</v>
      </c>
      <c r="V117" s="675">
        <v>0</v>
      </c>
      <c r="W117" s="675">
        <v>0</v>
      </c>
      <c r="X117" s="675">
        <v>0</v>
      </c>
      <c r="Y117" s="675">
        <v>0</v>
      </c>
      <c r="Z117" s="675">
        <v>0</v>
      </c>
      <c r="AA117" s="675">
        <v>0</v>
      </c>
      <c r="AB117" s="675">
        <v>0</v>
      </c>
      <c r="AC117" s="675">
        <v>0</v>
      </c>
      <c r="AD117" s="675">
        <v>0</v>
      </c>
      <c r="AE117" s="675">
        <v>0</v>
      </c>
      <c r="AF117" s="675">
        <v>0</v>
      </c>
      <c r="AG117" s="675">
        <v>0</v>
      </c>
      <c r="AH117" s="675">
        <v>0</v>
      </c>
      <c r="AI117" s="675">
        <v>0</v>
      </c>
      <c r="AJ117" s="675">
        <v>0</v>
      </c>
      <c r="AK117" s="675">
        <v>0</v>
      </c>
      <c r="AL117" s="675">
        <v>0</v>
      </c>
      <c r="AM117" s="675">
        <v>77</v>
      </c>
      <c r="AN117" s="675">
        <v>0</v>
      </c>
      <c r="AO117" s="676">
        <f>SUMIF($C$70:$AN$70,AO$70,$C117:$AN117)</f>
        <v>82</v>
      </c>
      <c r="AP117" s="676">
        <f>SUMIF($C$70:$AN$70,AP$70,$C117:$AN117)</f>
        <v>0</v>
      </c>
      <c r="AQ117" s="974">
        <v>0</v>
      </c>
      <c r="AR117" s="685">
        <v>0</v>
      </c>
    </row>
    <row r="118" spans="1:44" ht="24.95" customHeight="1">
      <c r="A118" s="445">
        <v>3</v>
      </c>
      <c r="B118" s="440" t="s">
        <v>124</v>
      </c>
      <c r="C118" s="675">
        <v>328.44</v>
      </c>
      <c r="D118" s="675">
        <v>53.24</v>
      </c>
      <c r="E118" s="675">
        <v>70</v>
      </c>
      <c r="F118" s="675">
        <v>77.400000000000006</v>
      </c>
      <c r="G118" s="675">
        <v>465.5</v>
      </c>
      <c r="H118" s="675">
        <v>492.75</v>
      </c>
      <c r="I118" s="675">
        <v>500</v>
      </c>
      <c r="J118" s="675">
        <v>222.7</v>
      </c>
      <c r="K118" s="675">
        <v>1107.3</v>
      </c>
      <c r="L118" s="675">
        <v>216.9</v>
      </c>
      <c r="M118" s="675">
        <v>230.5</v>
      </c>
      <c r="N118" s="675">
        <v>110.9</v>
      </c>
      <c r="O118" s="675">
        <v>90.5</v>
      </c>
      <c r="P118" s="675">
        <v>1</v>
      </c>
      <c r="Q118" s="675">
        <v>729</v>
      </c>
      <c r="R118" s="675">
        <v>226.11</v>
      </c>
      <c r="S118" s="675">
        <v>478.77</v>
      </c>
      <c r="T118" s="675">
        <v>72.966999999999999</v>
      </c>
      <c r="U118" s="675">
        <v>16.63</v>
      </c>
      <c r="V118" s="675">
        <v>81.47</v>
      </c>
      <c r="W118" s="675">
        <v>0</v>
      </c>
      <c r="X118" s="675">
        <v>166.78</v>
      </c>
      <c r="Y118" s="675">
        <v>117</v>
      </c>
      <c r="Z118" s="675">
        <v>173.15</v>
      </c>
      <c r="AA118" s="675">
        <v>125.33199999999999</v>
      </c>
      <c r="AB118" s="675">
        <v>143.148</v>
      </c>
      <c r="AC118" s="675">
        <v>79</v>
      </c>
      <c r="AD118" s="675">
        <v>0</v>
      </c>
      <c r="AE118" s="675">
        <v>0</v>
      </c>
      <c r="AF118" s="675">
        <v>0</v>
      </c>
      <c r="AG118" s="675">
        <v>310.5</v>
      </c>
      <c r="AH118" s="675">
        <v>70.8</v>
      </c>
      <c r="AI118" s="675">
        <v>239</v>
      </c>
      <c r="AJ118" s="675">
        <v>147.76999999999998</v>
      </c>
      <c r="AK118" s="675">
        <v>347.9</v>
      </c>
      <c r="AL118" s="675">
        <v>60.1</v>
      </c>
      <c r="AM118" s="675">
        <v>184</v>
      </c>
      <c r="AN118" s="675">
        <v>214.66666666666666</v>
      </c>
      <c r="AO118" s="676">
        <f>SUMIF($C$70:$AN$70,AO$70,$C118:$AN118)</f>
        <v>5419.3719999999994</v>
      </c>
      <c r="AP118" s="676">
        <f>SUMIF($C$70:$AN$70,AP$70,$C118:$AN118)</f>
        <v>2531.8516666666665</v>
      </c>
      <c r="AQ118" s="974">
        <v>0</v>
      </c>
      <c r="AR118" s="685">
        <v>126.1</v>
      </c>
    </row>
    <row r="119" spans="1:44" ht="30" customHeight="1">
      <c r="A119" s="445"/>
      <c r="B119" s="440" t="s">
        <v>2</v>
      </c>
      <c r="C119" s="676">
        <f t="shared" ref="C119:V119" si="31">SUM(C117:C118)</f>
        <v>328.44</v>
      </c>
      <c r="D119" s="676">
        <f t="shared" si="31"/>
        <v>53.24</v>
      </c>
      <c r="E119" s="676">
        <f t="shared" si="31"/>
        <v>70</v>
      </c>
      <c r="F119" s="676">
        <f t="shared" si="31"/>
        <v>77.400000000000006</v>
      </c>
      <c r="G119" s="676">
        <f t="shared" si="31"/>
        <v>465.5</v>
      </c>
      <c r="H119" s="676">
        <f t="shared" si="31"/>
        <v>492.75</v>
      </c>
      <c r="I119" s="676">
        <f t="shared" si="31"/>
        <v>500</v>
      </c>
      <c r="J119" s="676">
        <f t="shared" si="31"/>
        <v>222.7</v>
      </c>
      <c r="K119" s="676">
        <f t="shared" si="31"/>
        <v>1107.3</v>
      </c>
      <c r="L119" s="676">
        <f t="shared" si="31"/>
        <v>216.9</v>
      </c>
      <c r="M119" s="676">
        <f t="shared" si="31"/>
        <v>235.5</v>
      </c>
      <c r="N119" s="676">
        <f t="shared" si="31"/>
        <v>110.9</v>
      </c>
      <c r="O119" s="676">
        <f t="shared" si="31"/>
        <v>90.5</v>
      </c>
      <c r="P119" s="676">
        <f t="shared" si="31"/>
        <v>1</v>
      </c>
      <c r="Q119" s="676">
        <f t="shared" si="31"/>
        <v>729</v>
      </c>
      <c r="R119" s="676">
        <f t="shared" si="31"/>
        <v>226.11</v>
      </c>
      <c r="S119" s="676">
        <f t="shared" si="31"/>
        <v>478.77</v>
      </c>
      <c r="T119" s="676">
        <f t="shared" si="31"/>
        <v>72.966999999999999</v>
      </c>
      <c r="U119" s="676">
        <f t="shared" si="31"/>
        <v>16.63</v>
      </c>
      <c r="V119" s="676">
        <f t="shared" si="31"/>
        <v>81.47</v>
      </c>
      <c r="W119" s="676">
        <f t="shared" ref="W119:X119" si="32">SUM(W117:W118)</f>
        <v>0</v>
      </c>
      <c r="X119" s="676">
        <f t="shared" si="32"/>
        <v>166.78</v>
      </c>
      <c r="Y119" s="676">
        <f t="shared" ref="Y119:AN119" si="33">SUM(Y117:Y118)</f>
        <v>117</v>
      </c>
      <c r="Z119" s="676">
        <f t="shared" si="33"/>
        <v>173.15</v>
      </c>
      <c r="AA119" s="676">
        <f t="shared" si="33"/>
        <v>125.33199999999999</v>
      </c>
      <c r="AB119" s="676">
        <f t="shared" si="33"/>
        <v>143.148</v>
      </c>
      <c r="AC119" s="676">
        <f t="shared" si="33"/>
        <v>79</v>
      </c>
      <c r="AD119" s="676">
        <f t="shared" si="33"/>
        <v>0</v>
      </c>
      <c r="AE119" s="676">
        <f t="shared" si="33"/>
        <v>0</v>
      </c>
      <c r="AF119" s="676">
        <f t="shared" si="33"/>
        <v>0</v>
      </c>
      <c r="AG119" s="676">
        <f t="shared" si="33"/>
        <v>310.5</v>
      </c>
      <c r="AH119" s="676">
        <f t="shared" si="33"/>
        <v>70.8</v>
      </c>
      <c r="AI119" s="676">
        <f t="shared" si="33"/>
        <v>239</v>
      </c>
      <c r="AJ119" s="676">
        <f t="shared" si="33"/>
        <v>147.76999999999998</v>
      </c>
      <c r="AK119" s="676">
        <f t="shared" si="33"/>
        <v>347.9</v>
      </c>
      <c r="AL119" s="676">
        <f t="shared" si="33"/>
        <v>60.1</v>
      </c>
      <c r="AM119" s="676">
        <f t="shared" si="33"/>
        <v>261</v>
      </c>
      <c r="AN119" s="676">
        <f t="shared" si="33"/>
        <v>214.66666666666666</v>
      </c>
      <c r="AO119" s="676">
        <f t="shared" ref="AO119:AR119" si="34">SUM(AO117:AO118)</f>
        <v>5501.3719999999994</v>
      </c>
      <c r="AP119" s="676">
        <f t="shared" si="34"/>
        <v>2531.8516666666665</v>
      </c>
      <c r="AQ119" s="975">
        <f t="shared" si="34"/>
        <v>0</v>
      </c>
      <c r="AR119" s="686">
        <f t="shared" si="34"/>
        <v>126.1</v>
      </c>
    </row>
    <row r="120" spans="1:44" ht="30" customHeight="1">
      <c r="A120" s="445"/>
      <c r="B120" s="439" t="s">
        <v>24</v>
      </c>
      <c r="C120" s="671"/>
      <c r="D120" s="671"/>
      <c r="E120" s="671"/>
      <c r="F120" s="671"/>
      <c r="G120" s="671"/>
      <c r="H120" s="671"/>
      <c r="I120" s="671"/>
      <c r="J120" s="671"/>
      <c r="K120" s="671"/>
      <c r="L120" s="671"/>
      <c r="M120" s="671"/>
      <c r="N120" s="671"/>
      <c r="O120" s="671"/>
      <c r="P120" s="671"/>
      <c r="Q120" s="671"/>
      <c r="R120" s="671"/>
      <c r="S120" s="671"/>
      <c r="T120" s="671"/>
      <c r="U120" s="671"/>
      <c r="V120" s="671"/>
      <c r="W120" s="671"/>
      <c r="X120" s="671"/>
      <c r="Y120" s="671"/>
      <c r="Z120" s="671"/>
      <c r="AA120" s="671"/>
      <c r="AB120" s="671"/>
      <c r="AC120" s="671"/>
      <c r="AD120" s="671"/>
      <c r="AE120" s="671"/>
      <c r="AF120" s="671"/>
      <c r="AG120" s="671"/>
      <c r="AH120" s="671"/>
      <c r="AI120" s="671"/>
      <c r="AJ120" s="671"/>
      <c r="AK120" s="671"/>
      <c r="AL120" s="671"/>
      <c r="AM120" s="671"/>
      <c r="AN120" s="671"/>
      <c r="AO120" s="671"/>
      <c r="AP120" s="671"/>
      <c r="AQ120" s="973"/>
      <c r="AR120" s="672"/>
    </row>
    <row r="121" spans="1:44" ht="24.95" customHeight="1">
      <c r="A121" s="445"/>
      <c r="B121" s="440" t="s">
        <v>122</v>
      </c>
      <c r="C121" s="671"/>
      <c r="D121" s="671"/>
      <c r="E121" s="671"/>
      <c r="F121" s="671"/>
      <c r="G121" s="671"/>
      <c r="H121" s="671"/>
      <c r="I121" s="671"/>
      <c r="J121" s="671"/>
      <c r="K121" s="671"/>
      <c r="L121" s="671"/>
      <c r="M121" s="671"/>
      <c r="N121" s="671"/>
      <c r="O121" s="671"/>
      <c r="P121" s="671"/>
      <c r="Q121" s="671"/>
      <c r="R121" s="671"/>
      <c r="S121" s="671"/>
      <c r="T121" s="671"/>
      <c r="U121" s="671"/>
      <c r="V121" s="671"/>
      <c r="W121" s="671"/>
      <c r="X121" s="671"/>
      <c r="Y121" s="671"/>
      <c r="Z121" s="671"/>
      <c r="AA121" s="671"/>
      <c r="AB121" s="671"/>
      <c r="AC121" s="671"/>
      <c r="AD121" s="671"/>
      <c r="AE121" s="671"/>
      <c r="AF121" s="671"/>
      <c r="AG121" s="671"/>
      <c r="AH121" s="671"/>
      <c r="AI121" s="671"/>
      <c r="AJ121" s="671"/>
      <c r="AK121" s="671"/>
      <c r="AL121" s="671"/>
      <c r="AM121" s="671"/>
      <c r="AN121" s="671"/>
      <c r="AO121" s="671"/>
      <c r="AP121" s="671"/>
      <c r="AQ121" s="973"/>
      <c r="AR121" s="672"/>
    </row>
    <row r="122" spans="1:44" ht="20.100000000000001" customHeight="1">
      <c r="A122" s="445">
        <v>4</v>
      </c>
      <c r="B122" s="441" t="s">
        <v>125</v>
      </c>
      <c r="C122" s="675">
        <v>75.75</v>
      </c>
      <c r="D122" s="675">
        <v>4.17</v>
      </c>
      <c r="E122" s="675">
        <v>0</v>
      </c>
      <c r="F122" s="675">
        <v>0</v>
      </c>
      <c r="G122" s="675">
        <v>61</v>
      </c>
      <c r="H122" s="675">
        <v>0</v>
      </c>
      <c r="I122" s="675">
        <v>0</v>
      </c>
      <c r="J122" s="675">
        <v>0</v>
      </c>
      <c r="K122" s="675">
        <v>99</v>
      </c>
      <c r="L122" s="675">
        <v>0</v>
      </c>
      <c r="M122" s="675">
        <v>0</v>
      </c>
      <c r="N122" s="675">
        <v>0</v>
      </c>
      <c r="O122" s="675">
        <v>0</v>
      </c>
      <c r="P122" s="675">
        <v>0</v>
      </c>
      <c r="Q122" s="675">
        <v>105</v>
      </c>
      <c r="R122" s="675">
        <v>0</v>
      </c>
      <c r="S122" s="675">
        <v>0</v>
      </c>
      <c r="T122" s="675">
        <v>0</v>
      </c>
      <c r="U122" s="675">
        <v>0</v>
      </c>
      <c r="V122" s="675">
        <v>0</v>
      </c>
      <c r="W122" s="675">
        <v>0</v>
      </c>
      <c r="X122" s="675">
        <v>0</v>
      </c>
      <c r="Y122" s="675">
        <v>0</v>
      </c>
      <c r="Z122" s="675">
        <v>0</v>
      </c>
      <c r="AA122" s="675">
        <v>0</v>
      </c>
      <c r="AB122" s="675">
        <v>0</v>
      </c>
      <c r="AC122" s="675">
        <v>0</v>
      </c>
      <c r="AD122" s="675">
        <v>0</v>
      </c>
      <c r="AE122" s="675">
        <v>0</v>
      </c>
      <c r="AF122" s="675">
        <v>0</v>
      </c>
      <c r="AG122" s="675">
        <v>0</v>
      </c>
      <c r="AH122" s="675">
        <v>0</v>
      </c>
      <c r="AI122" s="675">
        <v>0</v>
      </c>
      <c r="AJ122" s="675">
        <v>0</v>
      </c>
      <c r="AK122" s="675">
        <v>179.6</v>
      </c>
      <c r="AL122" s="675">
        <v>0</v>
      </c>
      <c r="AM122" s="675">
        <v>48</v>
      </c>
      <c r="AN122" s="675">
        <v>0</v>
      </c>
      <c r="AO122" s="676">
        <f t="shared" ref="AO122:AP124" si="35">SUMIF($C$70:$AN$70,AO$70,$C122:$AN122)</f>
        <v>568.35</v>
      </c>
      <c r="AP122" s="676">
        <f t="shared" si="35"/>
        <v>4.17</v>
      </c>
      <c r="AQ122" s="974">
        <v>0</v>
      </c>
      <c r="AR122" s="685">
        <v>0</v>
      </c>
    </row>
    <row r="123" spans="1:44" ht="20.100000000000001" customHeight="1">
      <c r="A123" s="445">
        <v>5</v>
      </c>
      <c r="B123" s="441" t="s">
        <v>126</v>
      </c>
      <c r="C123" s="675">
        <v>115.25</v>
      </c>
      <c r="D123" s="675">
        <v>1.25</v>
      </c>
      <c r="E123" s="675">
        <v>0</v>
      </c>
      <c r="F123" s="675">
        <v>0</v>
      </c>
      <c r="G123" s="675">
        <v>27</v>
      </c>
      <c r="H123" s="675">
        <v>0</v>
      </c>
      <c r="I123" s="675">
        <v>0</v>
      </c>
      <c r="J123" s="675">
        <v>0</v>
      </c>
      <c r="K123" s="675">
        <v>158</v>
      </c>
      <c r="L123" s="675">
        <v>0</v>
      </c>
      <c r="M123" s="675">
        <v>0</v>
      </c>
      <c r="N123" s="675">
        <v>0</v>
      </c>
      <c r="O123" s="675">
        <v>0</v>
      </c>
      <c r="P123" s="675">
        <v>0</v>
      </c>
      <c r="Q123" s="675">
        <v>137</v>
      </c>
      <c r="R123" s="675">
        <v>1.5</v>
      </c>
      <c r="S123" s="675">
        <v>0</v>
      </c>
      <c r="T123" s="675">
        <v>0</v>
      </c>
      <c r="U123" s="675">
        <v>0</v>
      </c>
      <c r="V123" s="675">
        <v>0</v>
      </c>
      <c r="W123" s="675">
        <v>6</v>
      </c>
      <c r="X123" s="675">
        <v>0</v>
      </c>
      <c r="Y123" s="675">
        <v>0</v>
      </c>
      <c r="Z123" s="675">
        <v>0</v>
      </c>
      <c r="AA123" s="675">
        <v>0</v>
      </c>
      <c r="AB123" s="675">
        <v>0</v>
      </c>
      <c r="AC123" s="675">
        <v>0</v>
      </c>
      <c r="AD123" s="675">
        <v>0</v>
      </c>
      <c r="AE123" s="675">
        <v>0</v>
      </c>
      <c r="AF123" s="675">
        <v>0</v>
      </c>
      <c r="AG123" s="675">
        <v>0</v>
      </c>
      <c r="AH123" s="675">
        <v>0</v>
      </c>
      <c r="AI123" s="675">
        <v>0</v>
      </c>
      <c r="AJ123" s="675">
        <v>0</v>
      </c>
      <c r="AK123" s="675">
        <v>343</v>
      </c>
      <c r="AL123" s="675">
        <v>1.3</v>
      </c>
      <c r="AM123" s="675">
        <v>54</v>
      </c>
      <c r="AN123" s="675">
        <v>0</v>
      </c>
      <c r="AO123" s="676">
        <f t="shared" si="35"/>
        <v>840.25</v>
      </c>
      <c r="AP123" s="676">
        <f t="shared" si="35"/>
        <v>4.05</v>
      </c>
      <c r="AQ123" s="974">
        <v>5</v>
      </c>
      <c r="AR123" s="685">
        <v>0</v>
      </c>
    </row>
    <row r="124" spans="1:44" ht="24.95" customHeight="1">
      <c r="A124" s="445">
        <v>6</v>
      </c>
      <c r="B124" s="440" t="s">
        <v>124</v>
      </c>
      <c r="C124" s="675">
        <v>0</v>
      </c>
      <c r="D124" s="675">
        <v>111.51</v>
      </c>
      <c r="E124" s="675">
        <v>0</v>
      </c>
      <c r="F124" s="675">
        <v>0</v>
      </c>
      <c r="G124" s="675">
        <v>93</v>
      </c>
      <c r="H124" s="675">
        <v>105</v>
      </c>
      <c r="I124" s="675">
        <v>0</v>
      </c>
      <c r="J124" s="675">
        <v>0</v>
      </c>
      <c r="K124" s="675">
        <v>104</v>
      </c>
      <c r="L124" s="675">
        <v>69.099999999999994</v>
      </c>
      <c r="M124" s="675">
        <v>0</v>
      </c>
      <c r="N124" s="675">
        <v>0</v>
      </c>
      <c r="O124" s="675">
        <v>88</v>
      </c>
      <c r="P124" s="675">
        <v>8.4</v>
      </c>
      <c r="Q124" s="675">
        <v>7.67</v>
      </c>
      <c r="R124" s="675">
        <v>172.23</v>
      </c>
      <c r="S124" s="675">
        <v>0</v>
      </c>
      <c r="T124" s="675">
        <v>0</v>
      </c>
      <c r="U124" s="675">
        <v>0</v>
      </c>
      <c r="V124" s="675">
        <v>0.75</v>
      </c>
      <c r="W124" s="675">
        <v>0</v>
      </c>
      <c r="X124" s="675">
        <v>0</v>
      </c>
      <c r="Y124" s="675">
        <v>0</v>
      </c>
      <c r="Z124" s="675">
        <v>0</v>
      </c>
      <c r="AA124" s="675">
        <v>28</v>
      </c>
      <c r="AB124" s="675">
        <v>0</v>
      </c>
      <c r="AC124" s="675">
        <v>0</v>
      </c>
      <c r="AD124" s="675">
        <v>0</v>
      </c>
      <c r="AE124" s="675">
        <v>0</v>
      </c>
      <c r="AF124" s="675">
        <v>0</v>
      </c>
      <c r="AG124" s="675">
        <v>0</v>
      </c>
      <c r="AH124" s="675">
        <v>0</v>
      </c>
      <c r="AI124" s="675">
        <v>13</v>
      </c>
      <c r="AJ124" s="675">
        <v>11.25</v>
      </c>
      <c r="AK124" s="675">
        <v>48</v>
      </c>
      <c r="AL124" s="675">
        <v>106.9</v>
      </c>
      <c r="AM124" s="675">
        <v>0</v>
      </c>
      <c r="AN124" s="675">
        <v>29.833333333333332</v>
      </c>
      <c r="AO124" s="676">
        <f t="shared" si="35"/>
        <v>381.67</v>
      </c>
      <c r="AP124" s="676">
        <f t="shared" si="35"/>
        <v>614.97333333333336</v>
      </c>
      <c r="AQ124" s="974">
        <v>0</v>
      </c>
      <c r="AR124" s="685">
        <v>0</v>
      </c>
    </row>
    <row r="125" spans="1:44" ht="30" customHeight="1">
      <c r="A125" s="445"/>
      <c r="B125" s="440" t="s">
        <v>2</v>
      </c>
      <c r="C125" s="676">
        <f t="shared" ref="C125:V125" si="36">SUM(C122:C124)</f>
        <v>191</v>
      </c>
      <c r="D125" s="676">
        <f t="shared" si="36"/>
        <v>116.93</v>
      </c>
      <c r="E125" s="676">
        <f t="shared" si="36"/>
        <v>0</v>
      </c>
      <c r="F125" s="676">
        <f t="shared" si="36"/>
        <v>0</v>
      </c>
      <c r="G125" s="676">
        <f t="shared" si="36"/>
        <v>181</v>
      </c>
      <c r="H125" s="676">
        <f t="shared" si="36"/>
        <v>105</v>
      </c>
      <c r="I125" s="676">
        <f t="shared" si="36"/>
        <v>0</v>
      </c>
      <c r="J125" s="676">
        <f t="shared" si="36"/>
        <v>0</v>
      </c>
      <c r="K125" s="676">
        <f t="shared" si="36"/>
        <v>361</v>
      </c>
      <c r="L125" s="676">
        <f t="shared" si="36"/>
        <v>69.099999999999994</v>
      </c>
      <c r="M125" s="676">
        <f t="shared" si="36"/>
        <v>0</v>
      </c>
      <c r="N125" s="676">
        <f t="shared" si="36"/>
        <v>0</v>
      </c>
      <c r="O125" s="676">
        <f t="shared" si="36"/>
        <v>88</v>
      </c>
      <c r="P125" s="676">
        <f t="shared" si="36"/>
        <v>8.4</v>
      </c>
      <c r="Q125" s="676">
        <f t="shared" si="36"/>
        <v>249.67</v>
      </c>
      <c r="R125" s="676">
        <f t="shared" si="36"/>
        <v>173.73</v>
      </c>
      <c r="S125" s="676">
        <f t="shared" si="36"/>
        <v>0</v>
      </c>
      <c r="T125" s="676">
        <f t="shared" si="36"/>
        <v>0</v>
      </c>
      <c r="U125" s="676">
        <f t="shared" si="36"/>
        <v>0</v>
      </c>
      <c r="V125" s="676">
        <f t="shared" si="36"/>
        <v>0.75</v>
      </c>
      <c r="W125" s="676">
        <f t="shared" ref="W125:X125" si="37">SUM(W122:W124)</f>
        <v>6</v>
      </c>
      <c r="X125" s="676">
        <f t="shared" si="37"/>
        <v>0</v>
      </c>
      <c r="Y125" s="676">
        <f t="shared" ref="Y125:AN125" si="38">SUM(Y122:Y124)</f>
        <v>0</v>
      </c>
      <c r="Z125" s="676">
        <f t="shared" si="38"/>
        <v>0</v>
      </c>
      <c r="AA125" s="676">
        <f t="shared" si="38"/>
        <v>28</v>
      </c>
      <c r="AB125" s="676">
        <f t="shared" si="38"/>
        <v>0</v>
      </c>
      <c r="AC125" s="676">
        <f t="shared" si="38"/>
        <v>0</v>
      </c>
      <c r="AD125" s="676">
        <f t="shared" si="38"/>
        <v>0</v>
      </c>
      <c r="AE125" s="676">
        <f t="shared" si="38"/>
        <v>0</v>
      </c>
      <c r="AF125" s="676">
        <f t="shared" si="38"/>
        <v>0</v>
      </c>
      <c r="AG125" s="676">
        <f t="shared" si="38"/>
        <v>0</v>
      </c>
      <c r="AH125" s="676">
        <f t="shared" si="38"/>
        <v>0</v>
      </c>
      <c r="AI125" s="676">
        <f t="shared" si="38"/>
        <v>13</v>
      </c>
      <c r="AJ125" s="676">
        <f t="shared" si="38"/>
        <v>11.25</v>
      </c>
      <c r="AK125" s="676">
        <f t="shared" si="38"/>
        <v>570.6</v>
      </c>
      <c r="AL125" s="676">
        <f t="shared" si="38"/>
        <v>108.2</v>
      </c>
      <c r="AM125" s="676">
        <f t="shared" si="38"/>
        <v>102</v>
      </c>
      <c r="AN125" s="676">
        <f t="shared" si="38"/>
        <v>29.833333333333332</v>
      </c>
      <c r="AO125" s="676">
        <f t="shared" ref="AO125:AR125" si="39">SUM(AO122:AO124)</f>
        <v>1790.27</v>
      </c>
      <c r="AP125" s="676">
        <f t="shared" si="39"/>
        <v>623.19333333333338</v>
      </c>
      <c r="AQ125" s="975">
        <f t="shared" si="39"/>
        <v>5</v>
      </c>
      <c r="AR125" s="686">
        <f t="shared" si="39"/>
        <v>0</v>
      </c>
    </row>
    <row r="126" spans="1:44" ht="30" customHeight="1">
      <c r="A126" s="445"/>
      <c r="B126" s="439" t="s">
        <v>25</v>
      </c>
      <c r="C126" s="671"/>
      <c r="D126" s="671"/>
      <c r="E126" s="671"/>
      <c r="F126" s="671"/>
      <c r="G126" s="671"/>
      <c r="H126" s="671"/>
      <c r="I126" s="671"/>
      <c r="J126" s="671"/>
      <c r="K126" s="671"/>
      <c r="L126" s="671"/>
      <c r="M126" s="671"/>
      <c r="N126" s="671"/>
      <c r="O126" s="671"/>
      <c r="P126" s="671"/>
      <c r="Q126" s="671"/>
      <c r="R126" s="671"/>
      <c r="S126" s="671"/>
      <c r="T126" s="671"/>
      <c r="U126" s="671"/>
      <c r="V126" s="671"/>
      <c r="W126" s="671"/>
      <c r="X126" s="671"/>
      <c r="Y126" s="671"/>
      <c r="Z126" s="671"/>
      <c r="AA126" s="671"/>
      <c r="AB126" s="671"/>
      <c r="AC126" s="671"/>
      <c r="AD126" s="671"/>
      <c r="AE126" s="671"/>
      <c r="AF126" s="671"/>
      <c r="AG126" s="671"/>
      <c r="AH126" s="671"/>
      <c r="AI126" s="671"/>
      <c r="AJ126" s="671"/>
      <c r="AK126" s="671"/>
      <c r="AL126" s="671"/>
      <c r="AM126" s="671"/>
      <c r="AN126" s="671"/>
      <c r="AO126" s="671"/>
      <c r="AP126" s="671"/>
      <c r="AQ126" s="973"/>
      <c r="AR126" s="672"/>
    </row>
    <row r="127" spans="1:44" ht="24.95" customHeight="1">
      <c r="A127" s="445"/>
      <c r="B127" s="440" t="s">
        <v>122</v>
      </c>
      <c r="C127" s="671"/>
      <c r="D127" s="671"/>
      <c r="E127" s="671"/>
      <c r="F127" s="671"/>
      <c r="G127" s="671"/>
      <c r="H127" s="671"/>
      <c r="I127" s="671"/>
      <c r="J127" s="671"/>
      <c r="K127" s="671"/>
      <c r="L127" s="671"/>
      <c r="M127" s="671"/>
      <c r="N127" s="671"/>
      <c r="O127" s="671"/>
      <c r="P127" s="671"/>
      <c r="Q127" s="671"/>
      <c r="R127" s="671"/>
      <c r="S127" s="671"/>
      <c r="T127" s="671"/>
      <c r="U127" s="671"/>
      <c r="V127" s="671"/>
      <c r="W127" s="671"/>
      <c r="X127" s="671"/>
      <c r="Y127" s="671"/>
      <c r="Z127" s="671"/>
      <c r="AA127" s="671"/>
      <c r="AB127" s="671"/>
      <c r="AC127" s="671"/>
      <c r="AD127" s="671"/>
      <c r="AE127" s="671"/>
      <c r="AF127" s="671"/>
      <c r="AG127" s="671"/>
      <c r="AH127" s="671"/>
      <c r="AI127" s="671"/>
      <c r="AJ127" s="671"/>
      <c r="AK127" s="671"/>
      <c r="AL127" s="671"/>
      <c r="AM127" s="671"/>
      <c r="AN127" s="671"/>
      <c r="AO127" s="671"/>
      <c r="AP127" s="671"/>
      <c r="AQ127" s="973"/>
      <c r="AR127" s="672"/>
    </row>
    <row r="128" spans="1:44" ht="24.95" customHeight="1">
      <c r="A128" s="445"/>
      <c r="B128" s="441" t="s">
        <v>128</v>
      </c>
      <c r="C128" s="670"/>
      <c r="D128" s="670"/>
      <c r="E128" s="670"/>
      <c r="F128" s="670"/>
      <c r="G128" s="670"/>
      <c r="H128" s="670"/>
      <c r="I128" s="670"/>
      <c r="J128" s="670"/>
      <c r="K128" s="670"/>
      <c r="L128" s="670"/>
      <c r="M128" s="670"/>
      <c r="N128" s="670"/>
      <c r="O128" s="670"/>
      <c r="P128" s="670"/>
      <c r="Q128" s="670"/>
      <c r="R128" s="670"/>
      <c r="S128" s="670"/>
      <c r="T128" s="670"/>
      <c r="U128" s="670"/>
      <c r="V128" s="670"/>
      <c r="W128" s="670"/>
      <c r="X128" s="670"/>
      <c r="Y128" s="670"/>
      <c r="Z128" s="670"/>
      <c r="AA128" s="670"/>
      <c r="AB128" s="670"/>
      <c r="AC128" s="670"/>
      <c r="AD128" s="670"/>
      <c r="AE128" s="670"/>
      <c r="AF128" s="670"/>
      <c r="AG128" s="670"/>
      <c r="AH128" s="670"/>
      <c r="AI128" s="670"/>
      <c r="AJ128" s="670"/>
      <c r="AK128" s="670"/>
      <c r="AL128" s="670"/>
      <c r="AM128" s="670"/>
      <c r="AN128" s="670"/>
      <c r="AO128" s="670"/>
      <c r="AP128" s="670"/>
      <c r="AQ128" s="222"/>
      <c r="AR128" s="212"/>
    </row>
    <row r="129" spans="1:44" ht="20.100000000000001" customHeight="1">
      <c r="A129" s="445">
        <v>7</v>
      </c>
      <c r="B129" s="442" t="s">
        <v>50</v>
      </c>
      <c r="C129" s="675">
        <v>509</v>
      </c>
      <c r="D129" s="675">
        <v>0</v>
      </c>
      <c r="E129" s="675">
        <v>0</v>
      </c>
      <c r="F129" s="675">
        <v>0</v>
      </c>
      <c r="G129" s="675">
        <v>432.5</v>
      </c>
      <c r="H129" s="675">
        <v>0</v>
      </c>
      <c r="I129" s="675">
        <v>0</v>
      </c>
      <c r="J129" s="675">
        <v>0</v>
      </c>
      <c r="K129" s="675">
        <v>680</v>
      </c>
      <c r="L129" s="675">
        <v>0.2</v>
      </c>
      <c r="M129" s="675">
        <v>0</v>
      </c>
      <c r="N129" s="675">
        <v>0</v>
      </c>
      <c r="O129" s="675">
        <v>0</v>
      </c>
      <c r="P129" s="675">
        <v>0</v>
      </c>
      <c r="Q129" s="675">
        <v>739</v>
      </c>
      <c r="R129" s="675">
        <v>0</v>
      </c>
      <c r="S129" s="675">
        <v>0</v>
      </c>
      <c r="T129" s="675">
        <v>0</v>
      </c>
      <c r="U129" s="675">
        <v>0</v>
      </c>
      <c r="V129" s="675">
        <v>0</v>
      </c>
      <c r="W129" s="675">
        <v>0</v>
      </c>
      <c r="X129" s="675">
        <v>0</v>
      </c>
      <c r="Y129" s="675">
        <v>0</v>
      </c>
      <c r="Z129" s="675">
        <v>0</v>
      </c>
      <c r="AA129" s="675">
        <v>0</v>
      </c>
      <c r="AB129" s="675">
        <v>0</v>
      </c>
      <c r="AC129" s="675">
        <v>0</v>
      </c>
      <c r="AD129" s="675">
        <v>0</v>
      </c>
      <c r="AE129" s="675">
        <v>0</v>
      </c>
      <c r="AF129" s="675">
        <v>0</v>
      </c>
      <c r="AG129" s="675">
        <v>0</v>
      </c>
      <c r="AH129" s="675">
        <v>0</v>
      </c>
      <c r="AI129" s="675">
        <v>0</v>
      </c>
      <c r="AJ129" s="675">
        <v>0</v>
      </c>
      <c r="AK129" s="675">
        <v>0</v>
      </c>
      <c r="AL129" s="675">
        <v>0</v>
      </c>
      <c r="AM129" s="675">
        <v>0</v>
      </c>
      <c r="AN129" s="675">
        <v>0</v>
      </c>
      <c r="AO129" s="676">
        <f t="shared" ref="AO129:AP132" si="40">SUMIF($C$70:$AN$70,AO$70,$C129:$AN129)</f>
        <v>2360.5</v>
      </c>
      <c r="AP129" s="676">
        <f t="shared" si="40"/>
        <v>0.2</v>
      </c>
      <c r="AQ129" s="974">
        <v>0</v>
      </c>
      <c r="AR129" s="685">
        <v>0</v>
      </c>
    </row>
    <row r="130" spans="1:44" ht="20.100000000000001" customHeight="1">
      <c r="A130" s="445">
        <v>8</v>
      </c>
      <c r="B130" s="442" t="s">
        <v>51</v>
      </c>
      <c r="C130" s="675">
        <v>70.5</v>
      </c>
      <c r="D130" s="675">
        <v>0</v>
      </c>
      <c r="E130" s="675">
        <v>0</v>
      </c>
      <c r="F130" s="675">
        <v>0</v>
      </c>
      <c r="G130" s="675">
        <v>248</v>
      </c>
      <c r="H130" s="675">
        <v>0</v>
      </c>
      <c r="I130" s="675">
        <v>0</v>
      </c>
      <c r="J130" s="675">
        <v>0</v>
      </c>
      <c r="K130" s="675">
        <v>0</v>
      </c>
      <c r="L130" s="675">
        <v>0</v>
      </c>
      <c r="M130" s="675">
        <v>0</v>
      </c>
      <c r="N130" s="675">
        <v>0</v>
      </c>
      <c r="O130" s="675">
        <v>0</v>
      </c>
      <c r="P130" s="675">
        <v>0</v>
      </c>
      <c r="Q130" s="675">
        <v>352</v>
      </c>
      <c r="R130" s="675">
        <v>0</v>
      </c>
      <c r="S130" s="675">
        <v>0</v>
      </c>
      <c r="T130" s="675">
        <v>0</v>
      </c>
      <c r="U130" s="675">
        <v>0</v>
      </c>
      <c r="V130" s="675">
        <v>0</v>
      </c>
      <c r="W130" s="675">
        <v>0</v>
      </c>
      <c r="X130" s="675">
        <v>0</v>
      </c>
      <c r="Y130" s="675">
        <v>0</v>
      </c>
      <c r="Z130" s="675">
        <v>0</v>
      </c>
      <c r="AA130" s="675">
        <v>0</v>
      </c>
      <c r="AB130" s="675">
        <v>0</v>
      </c>
      <c r="AC130" s="675">
        <v>0</v>
      </c>
      <c r="AD130" s="675">
        <v>0</v>
      </c>
      <c r="AE130" s="675">
        <v>0</v>
      </c>
      <c r="AF130" s="675">
        <v>0</v>
      </c>
      <c r="AG130" s="675">
        <v>0</v>
      </c>
      <c r="AH130" s="675">
        <v>0</v>
      </c>
      <c r="AI130" s="675">
        <v>0</v>
      </c>
      <c r="AJ130" s="675">
        <v>0</v>
      </c>
      <c r="AK130" s="675">
        <v>0</v>
      </c>
      <c r="AL130" s="675">
        <v>0</v>
      </c>
      <c r="AM130" s="675">
        <v>0</v>
      </c>
      <c r="AN130" s="675">
        <v>0</v>
      </c>
      <c r="AO130" s="676">
        <f t="shared" si="40"/>
        <v>670.5</v>
      </c>
      <c r="AP130" s="676">
        <f t="shared" si="40"/>
        <v>0</v>
      </c>
      <c r="AQ130" s="974">
        <v>0</v>
      </c>
      <c r="AR130" s="685">
        <v>0</v>
      </c>
    </row>
    <row r="131" spans="1:44" ht="20.100000000000001" customHeight="1">
      <c r="A131" s="445">
        <v>9</v>
      </c>
      <c r="B131" s="442" t="s">
        <v>19</v>
      </c>
      <c r="C131" s="675">
        <v>284.84000000000003</v>
      </c>
      <c r="D131" s="675">
        <v>0.01</v>
      </c>
      <c r="E131" s="675">
        <v>0</v>
      </c>
      <c r="F131" s="675">
        <v>0</v>
      </c>
      <c r="G131" s="675">
        <v>294</v>
      </c>
      <c r="H131" s="675">
        <v>0</v>
      </c>
      <c r="I131" s="675">
        <v>0</v>
      </c>
      <c r="J131" s="675">
        <v>0</v>
      </c>
      <c r="K131" s="675">
        <v>311</v>
      </c>
      <c r="L131" s="675">
        <v>0</v>
      </c>
      <c r="M131" s="675">
        <v>0</v>
      </c>
      <c r="N131" s="675">
        <v>0</v>
      </c>
      <c r="O131" s="675">
        <v>0</v>
      </c>
      <c r="P131" s="675">
        <v>0</v>
      </c>
      <c r="Q131" s="675">
        <v>405</v>
      </c>
      <c r="R131" s="675">
        <v>0</v>
      </c>
      <c r="S131" s="675">
        <v>0</v>
      </c>
      <c r="T131" s="675">
        <v>0</v>
      </c>
      <c r="U131" s="675">
        <v>0</v>
      </c>
      <c r="V131" s="675">
        <v>0</v>
      </c>
      <c r="W131" s="675">
        <v>0</v>
      </c>
      <c r="X131" s="675">
        <v>0</v>
      </c>
      <c r="Y131" s="675">
        <v>0</v>
      </c>
      <c r="Z131" s="675">
        <v>0</v>
      </c>
      <c r="AA131" s="675">
        <v>0</v>
      </c>
      <c r="AB131" s="675">
        <v>0</v>
      </c>
      <c r="AC131" s="675">
        <v>0</v>
      </c>
      <c r="AD131" s="675">
        <v>0</v>
      </c>
      <c r="AE131" s="675">
        <v>0</v>
      </c>
      <c r="AF131" s="675">
        <v>0</v>
      </c>
      <c r="AG131" s="675">
        <v>299</v>
      </c>
      <c r="AH131" s="675">
        <v>0</v>
      </c>
      <c r="AI131" s="675">
        <v>0</v>
      </c>
      <c r="AJ131" s="675">
        <v>0</v>
      </c>
      <c r="AK131" s="675">
        <v>0</v>
      </c>
      <c r="AL131" s="675">
        <v>0</v>
      </c>
      <c r="AM131" s="675">
        <v>0</v>
      </c>
      <c r="AN131" s="675">
        <v>0</v>
      </c>
      <c r="AO131" s="676">
        <f t="shared" si="40"/>
        <v>1593.8400000000001</v>
      </c>
      <c r="AP131" s="676">
        <f t="shared" si="40"/>
        <v>0.01</v>
      </c>
      <c r="AQ131" s="974">
        <v>0</v>
      </c>
      <c r="AR131" s="685">
        <v>0</v>
      </c>
    </row>
    <row r="132" spans="1:44" ht="20.100000000000001" customHeight="1">
      <c r="A132" s="445">
        <v>10</v>
      </c>
      <c r="B132" s="442" t="s">
        <v>20</v>
      </c>
      <c r="C132" s="675">
        <v>0</v>
      </c>
      <c r="D132" s="675">
        <v>0</v>
      </c>
      <c r="E132" s="675">
        <v>0</v>
      </c>
      <c r="F132" s="675">
        <v>0</v>
      </c>
      <c r="G132" s="675">
        <v>65</v>
      </c>
      <c r="H132" s="675">
        <v>0</v>
      </c>
      <c r="I132" s="675">
        <v>0</v>
      </c>
      <c r="J132" s="675">
        <v>0</v>
      </c>
      <c r="K132" s="675">
        <v>0</v>
      </c>
      <c r="L132" s="675">
        <v>0</v>
      </c>
      <c r="M132" s="675">
        <v>0</v>
      </c>
      <c r="N132" s="675">
        <v>0</v>
      </c>
      <c r="O132" s="675">
        <v>0</v>
      </c>
      <c r="P132" s="675">
        <v>0</v>
      </c>
      <c r="Q132" s="675">
        <v>77</v>
      </c>
      <c r="R132" s="675">
        <v>0</v>
      </c>
      <c r="S132" s="675">
        <v>0</v>
      </c>
      <c r="T132" s="675">
        <v>0</v>
      </c>
      <c r="U132" s="675">
        <v>0</v>
      </c>
      <c r="V132" s="675">
        <v>0</v>
      </c>
      <c r="W132" s="675">
        <v>0</v>
      </c>
      <c r="X132" s="675">
        <v>0</v>
      </c>
      <c r="Y132" s="675">
        <v>0</v>
      </c>
      <c r="Z132" s="675">
        <v>0</v>
      </c>
      <c r="AA132" s="675">
        <v>0</v>
      </c>
      <c r="AB132" s="675">
        <v>0</v>
      </c>
      <c r="AC132" s="675">
        <v>0</v>
      </c>
      <c r="AD132" s="675">
        <v>0</v>
      </c>
      <c r="AE132" s="675">
        <v>0</v>
      </c>
      <c r="AF132" s="675">
        <v>0</v>
      </c>
      <c r="AG132" s="675">
        <v>0</v>
      </c>
      <c r="AH132" s="675">
        <v>0</v>
      </c>
      <c r="AI132" s="675">
        <v>0</v>
      </c>
      <c r="AJ132" s="675">
        <v>0</v>
      </c>
      <c r="AK132" s="675">
        <v>0</v>
      </c>
      <c r="AL132" s="675">
        <v>0</v>
      </c>
      <c r="AM132" s="675">
        <v>0</v>
      </c>
      <c r="AN132" s="675">
        <v>0</v>
      </c>
      <c r="AO132" s="676">
        <f t="shared" si="40"/>
        <v>142</v>
      </c>
      <c r="AP132" s="676">
        <f t="shared" si="40"/>
        <v>0</v>
      </c>
      <c r="AQ132" s="974">
        <v>0</v>
      </c>
      <c r="AR132" s="685">
        <v>0</v>
      </c>
    </row>
    <row r="133" spans="1:44" ht="24.95" customHeight="1">
      <c r="A133" s="445"/>
      <c r="B133" s="441" t="s">
        <v>21</v>
      </c>
      <c r="C133" s="671"/>
      <c r="D133" s="671"/>
      <c r="E133" s="671"/>
      <c r="F133" s="671"/>
      <c r="G133" s="671"/>
      <c r="H133" s="671"/>
      <c r="I133" s="671"/>
      <c r="J133" s="671"/>
      <c r="K133" s="671"/>
      <c r="L133" s="671"/>
      <c r="M133" s="671"/>
      <c r="N133" s="671"/>
      <c r="O133" s="671"/>
      <c r="P133" s="671"/>
      <c r="Q133" s="671"/>
      <c r="R133" s="671"/>
      <c r="S133" s="671"/>
      <c r="T133" s="671"/>
      <c r="U133" s="671"/>
      <c r="V133" s="671"/>
      <c r="W133" s="671"/>
      <c r="X133" s="671"/>
      <c r="Y133" s="671"/>
      <c r="Z133" s="671"/>
      <c r="AA133" s="671"/>
      <c r="AB133" s="671"/>
      <c r="AC133" s="671"/>
      <c r="AD133" s="671"/>
      <c r="AE133" s="671"/>
      <c r="AF133" s="671"/>
      <c r="AG133" s="671"/>
      <c r="AH133" s="671"/>
      <c r="AI133" s="671"/>
      <c r="AJ133" s="671"/>
      <c r="AK133" s="671"/>
      <c r="AL133" s="671"/>
      <c r="AM133" s="671"/>
      <c r="AN133" s="671"/>
      <c r="AO133" s="675"/>
      <c r="AP133" s="671"/>
      <c r="AQ133" s="973"/>
      <c r="AR133" s="672"/>
    </row>
    <row r="134" spans="1:44" ht="20.100000000000001" customHeight="1">
      <c r="A134" s="445">
        <v>11</v>
      </c>
      <c r="B134" s="442" t="s">
        <v>134</v>
      </c>
      <c r="C134" s="675">
        <v>462.42</v>
      </c>
      <c r="D134" s="675">
        <v>1.67</v>
      </c>
      <c r="E134" s="675">
        <v>0</v>
      </c>
      <c r="F134" s="675">
        <v>0</v>
      </c>
      <c r="G134" s="675">
        <v>276</v>
      </c>
      <c r="H134" s="675">
        <v>1</v>
      </c>
      <c r="I134" s="675">
        <v>0</v>
      </c>
      <c r="J134" s="675">
        <v>0</v>
      </c>
      <c r="K134" s="675">
        <v>501</v>
      </c>
      <c r="L134" s="675">
        <v>2</v>
      </c>
      <c r="M134" s="675">
        <v>0</v>
      </c>
      <c r="N134" s="675">
        <v>0</v>
      </c>
      <c r="O134" s="675">
        <v>0</v>
      </c>
      <c r="P134" s="675">
        <v>0</v>
      </c>
      <c r="Q134" s="675">
        <v>581.16700000000003</v>
      </c>
      <c r="R134" s="675">
        <v>11.3</v>
      </c>
      <c r="S134" s="675">
        <v>0</v>
      </c>
      <c r="T134" s="675">
        <v>0</v>
      </c>
      <c r="U134" s="675">
        <v>0</v>
      </c>
      <c r="V134" s="675">
        <v>0</v>
      </c>
      <c r="W134" s="675">
        <v>0</v>
      </c>
      <c r="X134" s="675">
        <v>0</v>
      </c>
      <c r="Y134" s="675">
        <v>0</v>
      </c>
      <c r="Z134" s="675">
        <v>0</v>
      </c>
      <c r="AA134" s="675">
        <v>0</v>
      </c>
      <c r="AB134" s="675">
        <v>0</v>
      </c>
      <c r="AC134" s="675">
        <v>0</v>
      </c>
      <c r="AD134" s="675">
        <v>0</v>
      </c>
      <c r="AE134" s="675">
        <v>0</v>
      </c>
      <c r="AF134" s="675">
        <v>0</v>
      </c>
      <c r="AG134" s="675">
        <v>0</v>
      </c>
      <c r="AH134" s="675">
        <v>0</v>
      </c>
      <c r="AI134" s="675">
        <v>162.68</v>
      </c>
      <c r="AJ134" s="675">
        <v>0.92</v>
      </c>
      <c r="AK134" s="675">
        <v>575.79999999999995</v>
      </c>
      <c r="AL134" s="675">
        <v>0</v>
      </c>
      <c r="AM134" s="675">
        <v>262</v>
      </c>
      <c r="AN134" s="675">
        <v>2.1666666666666665</v>
      </c>
      <c r="AO134" s="676">
        <f t="shared" ref="AO134:AP138" si="41">SUMIF($C$70:$AN$70,AO$70,$C134:$AN134)</f>
        <v>2821.067</v>
      </c>
      <c r="AP134" s="676">
        <f t="shared" si="41"/>
        <v>19.056666666666668</v>
      </c>
      <c r="AQ134" s="974">
        <v>0</v>
      </c>
      <c r="AR134" s="685">
        <v>0</v>
      </c>
    </row>
    <row r="135" spans="1:44" ht="20.100000000000001" customHeight="1">
      <c r="A135" s="445">
        <v>12</v>
      </c>
      <c r="B135" s="442" t="s">
        <v>35</v>
      </c>
      <c r="C135" s="675">
        <v>64.67</v>
      </c>
      <c r="D135" s="675">
        <v>0</v>
      </c>
      <c r="E135" s="675">
        <v>0</v>
      </c>
      <c r="F135" s="675">
        <v>0</v>
      </c>
      <c r="G135" s="675">
        <v>0</v>
      </c>
      <c r="H135" s="675">
        <v>0</v>
      </c>
      <c r="I135" s="675">
        <v>0</v>
      </c>
      <c r="J135" s="675">
        <v>0</v>
      </c>
      <c r="K135" s="675">
        <v>0</v>
      </c>
      <c r="L135" s="675">
        <v>0</v>
      </c>
      <c r="M135" s="675">
        <v>0</v>
      </c>
      <c r="N135" s="675">
        <v>0</v>
      </c>
      <c r="O135" s="675">
        <v>0</v>
      </c>
      <c r="P135" s="675">
        <v>0</v>
      </c>
      <c r="Q135" s="675">
        <v>0</v>
      </c>
      <c r="R135" s="675">
        <v>0</v>
      </c>
      <c r="S135" s="675">
        <v>0</v>
      </c>
      <c r="T135" s="675">
        <v>0</v>
      </c>
      <c r="U135" s="675">
        <v>0</v>
      </c>
      <c r="V135" s="675">
        <v>0</v>
      </c>
      <c r="W135" s="675">
        <v>0</v>
      </c>
      <c r="X135" s="675">
        <v>0</v>
      </c>
      <c r="Y135" s="675">
        <v>0</v>
      </c>
      <c r="Z135" s="675">
        <v>0</v>
      </c>
      <c r="AA135" s="675">
        <v>0</v>
      </c>
      <c r="AB135" s="675">
        <v>0</v>
      </c>
      <c r="AC135" s="675">
        <v>89</v>
      </c>
      <c r="AD135" s="675">
        <v>0</v>
      </c>
      <c r="AE135" s="675">
        <v>0</v>
      </c>
      <c r="AF135" s="675">
        <v>0</v>
      </c>
      <c r="AG135" s="675">
        <v>0</v>
      </c>
      <c r="AH135" s="675">
        <v>0</v>
      </c>
      <c r="AI135" s="675">
        <v>0</v>
      </c>
      <c r="AJ135" s="675">
        <v>0</v>
      </c>
      <c r="AK135" s="675">
        <v>0</v>
      </c>
      <c r="AL135" s="675">
        <v>0</v>
      </c>
      <c r="AM135" s="675">
        <v>0</v>
      </c>
      <c r="AN135" s="675">
        <v>0</v>
      </c>
      <c r="AO135" s="676">
        <f t="shared" si="41"/>
        <v>153.67000000000002</v>
      </c>
      <c r="AP135" s="676">
        <f t="shared" si="41"/>
        <v>0</v>
      </c>
      <c r="AQ135" s="974">
        <v>0</v>
      </c>
      <c r="AR135" s="685">
        <v>0</v>
      </c>
    </row>
    <row r="136" spans="1:44" ht="20.100000000000001" customHeight="1">
      <c r="A136" s="445">
        <v>13</v>
      </c>
      <c r="B136" s="442" t="s">
        <v>36</v>
      </c>
      <c r="C136" s="675">
        <v>0</v>
      </c>
      <c r="D136" s="675">
        <v>0</v>
      </c>
      <c r="E136" s="675">
        <v>0</v>
      </c>
      <c r="F136" s="675">
        <v>0</v>
      </c>
      <c r="G136" s="675">
        <v>0</v>
      </c>
      <c r="H136" s="675">
        <v>0</v>
      </c>
      <c r="I136" s="675">
        <v>0</v>
      </c>
      <c r="J136" s="675">
        <v>0</v>
      </c>
      <c r="K136" s="675">
        <v>381</v>
      </c>
      <c r="L136" s="675">
        <v>0.2</v>
      </c>
      <c r="M136" s="675">
        <v>0</v>
      </c>
      <c r="N136" s="675">
        <v>0</v>
      </c>
      <c r="O136" s="675">
        <v>0</v>
      </c>
      <c r="P136" s="675">
        <v>0</v>
      </c>
      <c r="Q136" s="675">
        <v>0</v>
      </c>
      <c r="R136" s="675">
        <v>0</v>
      </c>
      <c r="S136" s="675">
        <v>0</v>
      </c>
      <c r="T136" s="675">
        <v>0</v>
      </c>
      <c r="U136" s="675">
        <v>0</v>
      </c>
      <c r="V136" s="675">
        <v>0</v>
      </c>
      <c r="W136" s="675">
        <v>0</v>
      </c>
      <c r="X136" s="675">
        <v>0</v>
      </c>
      <c r="Y136" s="675">
        <v>0</v>
      </c>
      <c r="Z136" s="675">
        <v>0</v>
      </c>
      <c r="AA136" s="675">
        <v>0</v>
      </c>
      <c r="AB136" s="675">
        <v>0</v>
      </c>
      <c r="AC136" s="675">
        <v>0</v>
      </c>
      <c r="AD136" s="675">
        <v>0</v>
      </c>
      <c r="AE136" s="675">
        <v>0</v>
      </c>
      <c r="AF136" s="675">
        <v>0</v>
      </c>
      <c r="AG136" s="675">
        <v>0</v>
      </c>
      <c r="AH136" s="675">
        <v>0</v>
      </c>
      <c r="AI136" s="675">
        <v>0</v>
      </c>
      <c r="AJ136" s="675">
        <v>0</v>
      </c>
      <c r="AK136" s="675">
        <v>0</v>
      </c>
      <c r="AL136" s="675">
        <v>0</v>
      </c>
      <c r="AM136" s="675">
        <v>0</v>
      </c>
      <c r="AN136" s="675">
        <v>0</v>
      </c>
      <c r="AO136" s="676">
        <f t="shared" si="41"/>
        <v>381</v>
      </c>
      <c r="AP136" s="676">
        <f t="shared" si="41"/>
        <v>0.2</v>
      </c>
      <c r="AQ136" s="974">
        <v>0</v>
      </c>
      <c r="AR136" s="685">
        <v>0</v>
      </c>
    </row>
    <row r="137" spans="1:44" ht="20.100000000000001" customHeight="1">
      <c r="A137" s="445">
        <v>14</v>
      </c>
      <c r="B137" s="442" t="s">
        <v>37</v>
      </c>
      <c r="C137" s="675">
        <v>0</v>
      </c>
      <c r="D137" s="675">
        <v>0</v>
      </c>
      <c r="E137" s="675">
        <v>0</v>
      </c>
      <c r="F137" s="675">
        <v>0</v>
      </c>
      <c r="G137" s="675">
        <v>0</v>
      </c>
      <c r="H137" s="675">
        <v>0</v>
      </c>
      <c r="I137" s="675">
        <v>0</v>
      </c>
      <c r="J137" s="675">
        <v>0</v>
      </c>
      <c r="K137" s="675">
        <v>3</v>
      </c>
      <c r="L137" s="675">
        <v>0</v>
      </c>
      <c r="M137" s="675">
        <v>0</v>
      </c>
      <c r="N137" s="675">
        <v>0</v>
      </c>
      <c r="O137" s="675">
        <v>0</v>
      </c>
      <c r="P137" s="675">
        <v>0</v>
      </c>
      <c r="Q137" s="675">
        <v>114</v>
      </c>
      <c r="R137" s="675">
        <v>0</v>
      </c>
      <c r="S137" s="675">
        <v>0</v>
      </c>
      <c r="T137" s="675">
        <v>0</v>
      </c>
      <c r="U137" s="675">
        <v>0</v>
      </c>
      <c r="V137" s="675">
        <v>0</v>
      </c>
      <c r="W137" s="675">
        <v>0</v>
      </c>
      <c r="X137" s="675">
        <v>0</v>
      </c>
      <c r="Y137" s="675">
        <v>0</v>
      </c>
      <c r="Z137" s="675">
        <v>0</v>
      </c>
      <c r="AA137" s="675">
        <v>0</v>
      </c>
      <c r="AB137" s="675">
        <v>0</v>
      </c>
      <c r="AC137" s="675">
        <v>0</v>
      </c>
      <c r="AD137" s="675">
        <v>0</v>
      </c>
      <c r="AE137" s="675">
        <v>0</v>
      </c>
      <c r="AF137" s="675">
        <v>0</v>
      </c>
      <c r="AG137" s="675">
        <v>0</v>
      </c>
      <c r="AH137" s="675">
        <v>0</v>
      </c>
      <c r="AI137" s="675">
        <v>0</v>
      </c>
      <c r="AJ137" s="675">
        <v>0</v>
      </c>
      <c r="AK137" s="675">
        <v>0</v>
      </c>
      <c r="AL137" s="675">
        <v>0</v>
      </c>
      <c r="AM137" s="675">
        <v>0</v>
      </c>
      <c r="AN137" s="675">
        <v>0</v>
      </c>
      <c r="AO137" s="676">
        <f t="shared" si="41"/>
        <v>117</v>
      </c>
      <c r="AP137" s="676">
        <f t="shared" si="41"/>
        <v>0</v>
      </c>
      <c r="AQ137" s="974">
        <v>0</v>
      </c>
      <c r="AR137" s="685">
        <v>0</v>
      </c>
    </row>
    <row r="138" spans="1:44" ht="24.95" customHeight="1">
      <c r="A138" s="445">
        <v>15</v>
      </c>
      <c r="B138" s="443" t="s">
        <v>123</v>
      </c>
      <c r="C138" s="674">
        <v>0</v>
      </c>
      <c r="D138" s="674">
        <v>0</v>
      </c>
      <c r="E138" s="674">
        <v>0</v>
      </c>
      <c r="F138" s="674">
        <v>0</v>
      </c>
      <c r="G138" s="674">
        <v>1117.8</v>
      </c>
      <c r="H138" s="674">
        <v>0</v>
      </c>
      <c r="I138" s="674">
        <v>1560</v>
      </c>
      <c r="J138" s="674">
        <v>0</v>
      </c>
      <c r="K138" s="674">
        <v>0</v>
      </c>
      <c r="L138" s="674">
        <v>0</v>
      </c>
      <c r="M138" s="674">
        <v>1278</v>
      </c>
      <c r="N138" s="674">
        <v>43.5</v>
      </c>
      <c r="O138" s="674">
        <v>0</v>
      </c>
      <c r="P138" s="674">
        <v>0</v>
      </c>
      <c r="Q138" s="674">
        <v>0</v>
      </c>
      <c r="R138" s="674">
        <v>0</v>
      </c>
      <c r="S138" s="674">
        <v>0</v>
      </c>
      <c r="T138" s="674">
        <v>0</v>
      </c>
      <c r="U138" s="674">
        <v>0</v>
      </c>
      <c r="V138" s="674">
        <v>0</v>
      </c>
      <c r="W138" s="674">
        <v>0</v>
      </c>
      <c r="X138" s="674">
        <v>0</v>
      </c>
      <c r="Y138" s="674">
        <v>0</v>
      </c>
      <c r="Z138" s="674">
        <v>0</v>
      </c>
      <c r="AA138" s="674">
        <v>740.5</v>
      </c>
      <c r="AB138" s="674">
        <v>0</v>
      </c>
      <c r="AC138" s="674">
        <v>0</v>
      </c>
      <c r="AD138" s="674">
        <v>0</v>
      </c>
      <c r="AE138" s="674">
        <v>0</v>
      </c>
      <c r="AF138" s="674">
        <v>0</v>
      </c>
      <c r="AG138" s="674">
        <v>0</v>
      </c>
      <c r="AH138" s="674">
        <v>0</v>
      </c>
      <c r="AI138" s="674">
        <v>855.76</v>
      </c>
      <c r="AJ138" s="674">
        <v>0.73</v>
      </c>
      <c r="AK138" s="674">
        <v>0</v>
      </c>
      <c r="AL138" s="674">
        <v>0</v>
      </c>
      <c r="AM138" s="674">
        <v>1980</v>
      </c>
      <c r="AN138" s="674">
        <v>3.3333333333333335</v>
      </c>
      <c r="AO138" s="696">
        <f t="shared" si="41"/>
        <v>7532.06</v>
      </c>
      <c r="AP138" s="696">
        <f t="shared" si="41"/>
        <v>47.563333333333333</v>
      </c>
      <c r="AQ138" s="976">
        <v>0</v>
      </c>
      <c r="AR138" s="687">
        <v>0</v>
      </c>
    </row>
    <row r="139" spans="1:44" ht="24.95" customHeight="1">
      <c r="A139" s="445"/>
      <c r="B139" s="440" t="s">
        <v>124</v>
      </c>
      <c r="C139" s="671"/>
      <c r="D139" s="671"/>
      <c r="E139" s="671"/>
      <c r="F139" s="671"/>
      <c r="G139" s="671"/>
      <c r="H139" s="671"/>
      <c r="I139" s="671"/>
      <c r="J139" s="671"/>
      <c r="K139" s="671"/>
      <c r="L139" s="671"/>
      <c r="M139" s="671"/>
      <c r="N139" s="671"/>
      <c r="O139" s="671"/>
      <c r="P139" s="671"/>
      <c r="Q139" s="671"/>
      <c r="R139" s="671"/>
      <c r="S139" s="671"/>
      <c r="T139" s="671"/>
      <c r="U139" s="671"/>
      <c r="V139" s="671"/>
      <c r="W139" s="671"/>
      <c r="X139" s="671"/>
      <c r="Y139" s="671"/>
      <c r="Z139" s="671"/>
      <c r="AA139" s="671"/>
      <c r="AB139" s="671"/>
      <c r="AC139" s="671"/>
      <c r="AD139" s="671"/>
      <c r="AE139" s="671"/>
      <c r="AF139" s="671"/>
      <c r="AG139" s="671"/>
      <c r="AH139" s="671"/>
      <c r="AI139" s="671"/>
      <c r="AJ139" s="671"/>
      <c r="AK139" s="671"/>
      <c r="AL139" s="671"/>
      <c r="AM139" s="671"/>
      <c r="AN139" s="671"/>
      <c r="AO139" s="671"/>
      <c r="AP139" s="671"/>
      <c r="AQ139" s="973"/>
      <c r="AR139" s="672"/>
    </row>
    <row r="140" spans="1:44" ht="24.95" customHeight="1">
      <c r="A140" s="445">
        <v>16</v>
      </c>
      <c r="B140" s="441" t="s">
        <v>129</v>
      </c>
      <c r="C140" s="675">
        <v>3159.53</v>
      </c>
      <c r="D140" s="675">
        <v>161.84</v>
      </c>
      <c r="E140" s="675">
        <v>2077.5</v>
      </c>
      <c r="F140" s="675">
        <v>58.5</v>
      </c>
      <c r="G140" s="675">
        <v>2052.6</v>
      </c>
      <c r="H140" s="675">
        <v>12.1</v>
      </c>
      <c r="I140" s="675">
        <v>2827.6</v>
      </c>
      <c r="J140" s="675">
        <v>118.2</v>
      </c>
      <c r="K140" s="675">
        <v>4445.9000000000005</v>
      </c>
      <c r="L140" s="675">
        <v>67.5</v>
      </c>
      <c r="M140" s="675">
        <v>2484</v>
      </c>
      <c r="N140" s="675">
        <v>277.70999999999998</v>
      </c>
      <c r="O140" s="675">
        <v>126</v>
      </c>
      <c r="P140" s="675">
        <v>0</v>
      </c>
      <c r="Q140" s="675">
        <v>5316.6819999999998</v>
      </c>
      <c r="R140" s="675">
        <v>88</v>
      </c>
      <c r="S140" s="675">
        <v>3322.05</v>
      </c>
      <c r="T140" s="675">
        <v>25.454999999999998</v>
      </c>
      <c r="U140" s="675">
        <v>1531.91</v>
      </c>
      <c r="V140" s="675">
        <v>358.76</v>
      </c>
      <c r="W140" s="675">
        <v>0</v>
      </c>
      <c r="X140" s="675">
        <v>2223.17</v>
      </c>
      <c r="Y140" s="675">
        <v>400.5</v>
      </c>
      <c r="Z140" s="675">
        <v>9.4600000000000009</v>
      </c>
      <c r="AA140" s="675">
        <v>1295.75</v>
      </c>
      <c r="AB140" s="675">
        <v>78.989999999999995</v>
      </c>
      <c r="AC140" s="675">
        <v>0</v>
      </c>
      <c r="AD140" s="675">
        <v>0</v>
      </c>
      <c r="AE140" s="675">
        <v>932</v>
      </c>
      <c r="AF140" s="675">
        <v>37</v>
      </c>
      <c r="AG140" s="675">
        <v>1552.5</v>
      </c>
      <c r="AH140" s="675">
        <v>1.9</v>
      </c>
      <c r="AI140" s="675">
        <v>1623.6399999999999</v>
      </c>
      <c r="AJ140" s="675">
        <v>20.610000000000003</v>
      </c>
      <c r="AK140" s="675">
        <v>4430.1000000000004</v>
      </c>
      <c r="AL140" s="675">
        <v>104.3</v>
      </c>
      <c r="AM140" s="675">
        <v>3019.5</v>
      </c>
      <c r="AN140" s="675">
        <v>306.08333333333292</v>
      </c>
      <c r="AO140" s="676">
        <f>SUMIF($C$70:$AN$70,AO$70,$C140:$AN140)</f>
        <v>40597.762000000002</v>
      </c>
      <c r="AP140" s="676">
        <f>SUMIF($C$70:$AN$70,AP$70,$C140:$AN140)</f>
        <v>3949.5783333333334</v>
      </c>
      <c r="AQ140" s="974">
        <v>0</v>
      </c>
      <c r="AR140" s="685">
        <v>1436.71</v>
      </c>
    </row>
    <row r="141" spans="1:44" ht="24.95" customHeight="1">
      <c r="A141" s="445">
        <v>17</v>
      </c>
      <c r="B141" s="441" t="s">
        <v>127</v>
      </c>
      <c r="C141" s="675">
        <v>4917.88</v>
      </c>
      <c r="D141" s="675">
        <v>336.78</v>
      </c>
      <c r="E141" s="675">
        <v>1811.5</v>
      </c>
      <c r="F141" s="675">
        <v>79.8</v>
      </c>
      <c r="G141" s="675">
        <v>3530.8900000000003</v>
      </c>
      <c r="H141" s="675">
        <v>400.2</v>
      </c>
      <c r="I141" s="675">
        <v>3817.8</v>
      </c>
      <c r="J141" s="675">
        <v>424.1</v>
      </c>
      <c r="K141" s="675">
        <v>7175.4000000000005</v>
      </c>
      <c r="L141" s="675">
        <v>263.60000000000002</v>
      </c>
      <c r="M141" s="675">
        <v>6108.35</v>
      </c>
      <c r="N141" s="675">
        <v>449.84</v>
      </c>
      <c r="O141" s="675">
        <v>1039</v>
      </c>
      <c r="P141" s="675">
        <v>9.6</v>
      </c>
      <c r="Q141" s="675">
        <v>7184.3649999999998</v>
      </c>
      <c r="R141" s="675">
        <v>347.5</v>
      </c>
      <c r="S141" s="675">
        <v>1321.65</v>
      </c>
      <c r="T141" s="675">
        <v>9.5</v>
      </c>
      <c r="U141" s="675">
        <v>2462.27</v>
      </c>
      <c r="V141" s="675">
        <v>504.97</v>
      </c>
      <c r="W141" s="675">
        <v>0</v>
      </c>
      <c r="X141" s="675">
        <v>3836.71</v>
      </c>
      <c r="Y141" s="675">
        <v>2264</v>
      </c>
      <c r="Z141" s="675">
        <v>70.36</v>
      </c>
      <c r="AA141" s="675">
        <v>4704.32</v>
      </c>
      <c r="AB141" s="675">
        <v>397.47</v>
      </c>
      <c r="AC141" s="675">
        <v>547</v>
      </c>
      <c r="AD141" s="675">
        <v>0</v>
      </c>
      <c r="AE141" s="675">
        <v>298</v>
      </c>
      <c r="AF141" s="675">
        <v>2.5</v>
      </c>
      <c r="AG141" s="675">
        <v>1803</v>
      </c>
      <c r="AH141" s="675">
        <v>73.900000000000006</v>
      </c>
      <c r="AI141" s="675">
        <v>2786.1299999999997</v>
      </c>
      <c r="AJ141" s="675">
        <v>147.29</v>
      </c>
      <c r="AK141" s="675">
        <v>5215.1000000000004</v>
      </c>
      <c r="AL141" s="675">
        <v>303.2</v>
      </c>
      <c r="AM141" s="675">
        <v>4685.5000000000009</v>
      </c>
      <c r="AN141" s="675">
        <v>850.66666666666754</v>
      </c>
      <c r="AO141" s="676">
        <f>SUMIF($C$70:$AN$70,AO$70,$C141:$AN141)</f>
        <v>61672.154999999992</v>
      </c>
      <c r="AP141" s="676">
        <f>SUMIF($C$70:$AN$70,AP$70,$C141:$AN141)</f>
        <v>8507.9866666666676</v>
      </c>
      <c r="AQ141" s="974">
        <v>0</v>
      </c>
      <c r="AR141" s="685">
        <v>2538.84</v>
      </c>
    </row>
    <row r="142" spans="1:44" ht="30" customHeight="1">
      <c r="A142" s="222"/>
      <c r="B142" s="440" t="s">
        <v>2</v>
      </c>
      <c r="C142" s="676">
        <f t="shared" ref="C142:V142" si="42">SUM(C129:C141)</f>
        <v>9468.84</v>
      </c>
      <c r="D142" s="676">
        <f t="shared" si="42"/>
        <v>500.29999999999995</v>
      </c>
      <c r="E142" s="676">
        <f t="shared" si="42"/>
        <v>3889</v>
      </c>
      <c r="F142" s="676">
        <f t="shared" si="42"/>
        <v>138.30000000000001</v>
      </c>
      <c r="G142" s="676">
        <f t="shared" si="42"/>
        <v>8016.79</v>
      </c>
      <c r="H142" s="676">
        <f t="shared" si="42"/>
        <v>413.3</v>
      </c>
      <c r="I142" s="676">
        <f t="shared" si="42"/>
        <v>8205.4000000000015</v>
      </c>
      <c r="J142" s="676">
        <f t="shared" si="42"/>
        <v>542.30000000000007</v>
      </c>
      <c r="K142" s="676">
        <f t="shared" si="42"/>
        <v>13497.300000000001</v>
      </c>
      <c r="L142" s="676">
        <f t="shared" si="42"/>
        <v>333.5</v>
      </c>
      <c r="M142" s="676">
        <f t="shared" si="42"/>
        <v>9870.35</v>
      </c>
      <c r="N142" s="676">
        <f t="shared" si="42"/>
        <v>771.05</v>
      </c>
      <c r="O142" s="676">
        <f t="shared" si="42"/>
        <v>1165</v>
      </c>
      <c r="P142" s="676">
        <f t="shared" si="42"/>
        <v>9.6</v>
      </c>
      <c r="Q142" s="676">
        <f t="shared" si="42"/>
        <v>14769.214</v>
      </c>
      <c r="R142" s="676">
        <f t="shared" si="42"/>
        <v>446.8</v>
      </c>
      <c r="S142" s="676">
        <f t="shared" si="42"/>
        <v>4643.7000000000007</v>
      </c>
      <c r="T142" s="676">
        <f t="shared" si="42"/>
        <v>34.954999999999998</v>
      </c>
      <c r="U142" s="676">
        <f t="shared" si="42"/>
        <v>3994.1800000000003</v>
      </c>
      <c r="V142" s="676">
        <f t="shared" si="42"/>
        <v>863.73</v>
      </c>
      <c r="W142" s="676">
        <f t="shared" ref="W142:X142" si="43">SUM(W129:W141)</f>
        <v>0</v>
      </c>
      <c r="X142" s="676">
        <f t="shared" si="43"/>
        <v>6059.88</v>
      </c>
      <c r="Y142" s="676">
        <f t="shared" ref="Y142:AN142" si="44">SUM(Y129:Y141)</f>
        <v>2664.5</v>
      </c>
      <c r="Z142" s="676">
        <f t="shared" si="44"/>
        <v>79.819999999999993</v>
      </c>
      <c r="AA142" s="676">
        <f t="shared" si="44"/>
        <v>6740.57</v>
      </c>
      <c r="AB142" s="676">
        <f t="shared" si="44"/>
        <v>476.46000000000004</v>
      </c>
      <c r="AC142" s="676">
        <f t="shared" si="44"/>
        <v>636</v>
      </c>
      <c r="AD142" s="676">
        <f t="shared" si="44"/>
        <v>0</v>
      </c>
      <c r="AE142" s="676">
        <f t="shared" si="44"/>
        <v>1230</v>
      </c>
      <c r="AF142" s="676">
        <f t="shared" si="44"/>
        <v>39.5</v>
      </c>
      <c r="AG142" s="676">
        <f t="shared" si="44"/>
        <v>3654.5</v>
      </c>
      <c r="AH142" s="676">
        <f t="shared" si="44"/>
        <v>75.800000000000011</v>
      </c>
      <c r="AI142" s="676">
        <f t="shared" si="44"/>
        <v>5428.2099999999991</v>
      </c>
      <c r="AJ142" s="676">
        <f t="shared" si="44"/>
        <v>169.54999999999998</v>
      </c>
      <c r="AK142" s="676">
        <f t="shared" si="44"/>
        <v>10221</v>
      </c>
      <c r="AL142" s="676">
        <f t="shared" si="44"/>
        <v>407.5</v>
      </c>
      <c r="AM142" s="676">
        <f t="shared" si="44"/>
        <v>9947</v>
      </c>
      <c r="AN142" s="676">
        <f t="shared" si="44"/>
        <v>1162.2500000000005</v>
      </c>
      <c r="AO142" s="676">
        <f t="shared" ref="AO142:AR142" si="45">SUM(AO129:AO141)</f>
        <v>118041.554</v>
      </c>
      <c r="AP142" s="676">
        <f t="shared" si="45"/>
        <v>12524.595000000001</v>
      </c>
      <c r="AQ142" s="975">
        <f t="shared" si="45"/>
        <v>0</v>
      </c>
      <c r="AR142" s="686">
        <f t="shared" si="45"/>
        <v>3975.55</v>
      </c>
    </row>
    <row r="143" spans="1:44" ht="30" customHeight="1" thickBot="1">
      <c r="A143" s="450">
        <v>18</v>
      </c>
      <c r="B143" s="444" t="s">
        <v>130</v>
      </c>
      <c r="C143" s="677">
        <f t="shared" ref="C143:V143" si="46">SUM(C114,C119,C125,C142)</f>
        <v>10470.48</v>
      </c>
      <c r="D143" s="677">
        <f t="shared" si="46"/>
        <v>754.1099999999999</v>
      </c>
      <c r="E143" s="677">
        <f t="shared" si="46"/>
        <v>3986</v>
      </c>
      <c r="F143" s="677">
        <f t="shared" si="46"/>
        <v>233.70000000000002</v>
      </c>
      <c r="G143" s="677">
        <f t="shared" si="46"/>
        <v>8969.6910000000007</v>
      </c>
      <c r="H143" s="677">
        <f t="shared" si="46"/>
        <v>1082.5</v>
      </c>
      <c r="I143" s="677">
        <f t="shared" si="46"/>
        <v>8780.4000000000015</v>
      </c>
      <c r="J143" s="677">
        <f t="shared" si="46"/>
        <v>811</v>
      </c>
      <c r="K143" s="677">
        <f t="shared" si="46"/>
        <v>16618.100000000002</v>
      </c>
      <c r="L143" s="677">
        <f t="shared" si="46"/>
        <v>812.5</v>
      </c>
      <c r="M143" s="677">
        <f t="shared" si="46"/>
        <v>10240.85</v>
      </c>
      <c r="N143" s="677">
        <f t="shared" si="46"/>
        <v>934.94999999999993</v>
      </c>
      <c r="O143" s="677">
        <f t="shared" si="46"/>
        <v>1354.5</v>
      </c>
      <c r="P143" s="677">
        <f t="shared" si="46"/>
        <v>22</v>
      </c>
      <c r="Q143" s="677">
        <f t="shared" si="46"/>
        <v>16820.684000000001</v>
      </c>
      <c r="R143" s="677">
        <f t="shared" si="46"/>
        <v>1023.9280000000001</v>
      </c>
      <c r="S143" s="677">
        <f t="shared" si="46"/>
        <v>5461.6200000000008</v>
      </c>
      <c r="T143" s="677">
        <f t="shared" si="46"/>
        <v>130.62200000000001</v>
      </c>
      <c r="U143" s="677">
        <f t="shared" si="46"/>
        <v>4056.3100000000004</v>
      </c>
      <c r="V143" s="677">
        <f t="shared" si="46"/>
        <v>958.8</v>
      </c>
      <c r="W143" s="677">
        <f t="shared" ref="W143:X143" si="47">SUM(W114,W119,W125,W142)</f>
        <v>6</v>
      </c>
      <c r="X143" s="677">
        <f t="shared" si="47"/>
        <v>6226.66</v>
      </c>
      <c r="Y143" s="677">
        <f t="shared" ref="Y143:AN143" si="48">SUM(Y114,Y119,Y125,Y142)</f>
        <v>2813.5</v>
      </c>
      <c r="Z143" s="677">
        <f t="shared" si="48"/>
        <v>271.97000000000003</v>
      </c>
      <c r="AA143" s="677">
        <f t="shared" si="48"/>
        <v>6938.902</v>
      </c>
      <c r="AB143" s="677">
        <f t="shared" si="48"/>
        <v>653.80799999999999</v>
      </c>
      <c r="AC143" s="677">
        <f t="shared" si="48"/>
        <v>718</v>
      </c>
      <c r="AD143" s="677">
        <f t="shared" si="48"/>
        <v>4</v>
      </c>
      <c r="AE143" s="677">
        <f t="shared" si="48"/>
        <v>1230</v>
      </c>
      <c r="AF143" s="677">
        <f t="shared" si="48"/>
        <v>39.5</v>
      </c>
      <c r="AG143" s="677">
        <f t="shared" si="48"/>
        <v>4431.8</v>
      </c>
      <c r="AH143" s="677">
        <f t="shared" si="48"/>
        <v>179.60000000000002</v>
      </c>
      <c r="AI143" s="677">
        <f t="shared" si="48"/>
        <v>5862.5399999999991</v>
      </c>
      <c r="AJ143" s="677">
        <f t="shared" si="48"/>
        <v>438.38</v>
      </c>
      <c r="AK143" s="677">
        <f t="shared" si="48"/>
        <v>11895.6</v>
      </c>
      <c r="AL143" s="677">
        <f t="shared" si="48"/>
        <v>632.5</v>
      </c>
      <c r="AM143" s="677">
        <f t="shared" si="48"/>
        <v>10488</v>
      </c>
      <c r="AN143" s="677">
        <f t="shared" si="48"/>
        <v>1461.416666666667</v>
      </c>
      <c r="AO143" s="677">
        <f t="shared" ref="AO143:AR143" si="49">SUM(AO114,AO119,AO125,AO142)</f>
        <v>131142.97700000001</v>
      </c>
      <c r="AP143" s="677">
        <f t="shared" si="49"/>
        <v>16671.94466666667</v>
      </c>
      <c r="AQ143" s="977">
        <f t="shared" si="49"/>
        <v>5</v>
      </c>
      <c r="AR143" s="688">
        <f t="shared" si="49"/>
        <v>4101.6500000000005</v>
      </c>
    </row>
    <row r="144" spans="1:44" ht="24.95" customHeight="1">
      <c r="A144" s="434" t="s">
        <v>143</v>
      </c>
      <c r="C144" s="678">
        <v>10470.48</v>
      </c>
      <c r="D144" s="678">
        <v>754.1099999999999</v>
      </c>
      <c r="E144" s="678">
        <v>3986</v>
      </c>
      <c r="F144" s="678">
        <v>233.70000000000002</v>
      </c>
      <c r="G144" s="678">
        <v>8969.6910000000007</v>
      </c>
      <c r="H144" s="678">
        <v>1082.5</v>
      </c>
      <c r="I144" s="678">
        <v>8780.4000000000015</v>
      </c>
      <c r="J144" s="678">
        <v>811</v>
      </c>
      <c r="K144" s="678">
        <v>16618.100000000002</v>
      </c>
      <c r="L144" s="678">
        <v>812.5</v>
      </c>
      <c r="M144" s="678">
        <v>10240.85</v>
      </c>
      <c r="N144" s="678">
        <v>934.94999999999993</v>
      </c>
      <c r="O144" s="678">
        <v>1354.5</v>
      </c>
      <c r="P144" s="678">
        <v>22</v>
      </c>
      <c r="Q144" s="678">
        <v>16820.684000000001</v>
      </c>
      <c r="R144" s="678">
        <v>1023.9280000000001</v>
      </c>
      <c r="S144" s="678">
        <v>5461.6200000000008</v>
      </c>
      <c r="T144" s="678">
        <v>130.62200000000001</v>
      </c>
      <c r="U144" s="678">
        <v>4056.3100000000004</v>
      </c>
      <c r="V144" s="678">
        <v>958.8</v>
      </c>
      <c r="W144" s="678">
        <v>6</v>
      </c>
      <c r="X144" s="678">
        <v>6226.66</v>
      </c>
      <c r="Y144" s="678">
        <v>2813.5</v>
      </c>
      <c r="Z144" s="678">
        <v>271.97000000000003</v>
      </c>
      <c r="AA144" s="678">
        <v>6938.902</v>
      </c>
      <c r="AB144" s="678">
        <v>653.80799999999999</v>
      </c>
      <c r="AC144" s="678">
        <v>718</v>
      </c>
      <c r="AD144" s="678">
        <v>4</v>
      </c>
      <c r="AE144" s="678">
        <v>1230</v>
      </c>
      <c r="AF144" s="678">
        <v>39.5</v>
      </c>
      <c r="AG144" s="678">
        <v>4431.8</v>
      </c>
      <c r="AH144" s="678">
        <v>179.60000000000002</v>
      </c>
      <c r="AI144" s="678">
        <v>5862.5399999999991</v>
      </c>
      <c r="AJ144" s="678">
        <v>438.38</v>
      </c>
      <c r="AK144" s="678">
        <v>11895.6</v>
      </c>
      <c r="AL144" s="678">
        <v>632.5</v>
      </c>
      <c r="AM144" s="678">
        <v>10488</v>
      </c>
      <c r="AN144" s="678">
        <v>1461.416666666667</v>
      </c>
      <c r="AO144" s="678">
        <v>131142.97700000001</v>
      </c>
      <c r="AP144" s="678">
        <v>16671.94466666667</v>
      </c>
      <c r="AQ144" s="678">
        <v>5</v>
      </c>
      <c r="AR144" s="678">
        <v>4101.6500000000005</v>
      </c>
    </row>
  </sheetData>
  <sheetProtection password="E23E" sheet="1" objects="1" scenarios="1"/>
  <mergeCells count="66">
    <mergeCell ref="C9:AK9"/>
    <mergeCell ref="C69:D69"/>
    <mergeCell ref="E69:F69"/>
    <mergeCell ref="G69:H69"/>
    <mergeCell ref="I69:J69"/>
    <mergeCell ref="K69:L69"/>
    <mergeCell ref="M69:N69"/>
    <mergeCell ref="U69:V69"/>
    <mergeCell ref="AA69:AB69"/>
    <mergeCell ref="AC69:AD69"/>
    <mergeCell ref="AE69:AF69"/>
    <mergeCell ref="Y69:Z69"/>
    <mergeCell ref="W69:X69"/>
    <mergeCell ref="N41:O41"/>
    <mergeCell ref="D10:N10"/>
    <mergeCell ref="C10:C11"/>
    <mergeCell ref="AL9:AQ9"/>
    <mergeCell ref="AS9:AZ9"/>
    <mergeCell ref="AS10:AW10"/>
    <mergeCell ref="AX10:AX11"/>
    <mergeCell ref="AY10:AY11"/>
    <mergeCell ref="AQ10:AQ11"/>
    <mergeCell ref="AL10:AL11"/>
    <mergeCell ref="AO10:AO11"/>
    <mergeCell ref="AP10:AP11"/>
    <mergeCell ref="AN10:AN11"/>
    <mergeCell ref="AQ69:AR69"/>
    <mergeCell ref="AO69:AP69"/>
    <mergeCell ref="AM69:AN69"/>
    <mergeCell ref="AM10:AM11"/>
    <mergeCell ref="AZ10:AZ11"/>
    <mergeCell ref="AK69:AL69"/>
    <mergeCell ref="A12:A13"/>
    <mergeCell ref="P10:S10"/>
    <mergeCell ref="AG10:AJ10"/>
    <mergeCell ref="O69:P69"/>
    <mergeCell ref="Q69:R69"/>
    <mergeCell ref="S69:T69"/>
    <mergeCell ref="AG69:AH69"/>
    <mergeCell ref="AI69:AJ69"/>
    <mergeCell ref="C41:M41"/>
    <mergeCell ref="AK10:AK11"/>
    <mergeCell ref="O10:O11"/>
    <mergeCell ref="T10:AE10"/>
    <mergeCell ref="AF10:AF11"/>
    <mergeCell ref="C110:D110"/>
    <mergeCell ref="E110:F110"/>
    <mergeCell ref="G110:H110"/>
    <mergeCell ref="I110:J110"/>
    <mergeCell ref="K110:L110"/>
    <mergeCell ref="M110:N110"/>
    <mergeCell ref="O110:P110"/>
    <mergeCell ref="Q110:R110"/>
    <mergeCell ref="S110:T110"/>
    <mergeCell ref="U110:V110"/>
    <mergeCell ref="W110:X110"/>
    <mergeCell ref="Y110:Z110"/>
    <mergeCell ref="AA110:AB110"/>
    <mergeCell ref="AC110:AD110"/>
    <mergeCell ref="AE110:AF110"/>
    <mergeCell ref="AQ110:AR110"/>
    <mergeCell ref="AG110:AH110"/>
    <mergeCell ref="AI110:AJ110"/>
    <mergeCell ref="AK110:AL110"/>
    <mergeCell ref="AM110:AN110"/>
    <mergeCell ref="AO110:AP110"/>
  </mergeCells>
  <dataValidations count="1">
    <dataValidation allowBlank="1" sqref="C54:G62 A36 B37:B40 D39 F39 H39 B73:B101 K40:M40 C40:C53 O42:O62 I42:M42 AQ85:AR100 C73:C86 AQ73:AR77 AQ79:AR83 D78:D86 C88:D102 E78:AB102 AK79:AN83 AK78:AR78 AK84:AR84 L39 D40:H40 P36:V60 H42:H62 P62:V62 N39:N62 D42:G53 AC85:AN100 O40 J39 D73:AN77 AC78:AJ84 AC101:AR102 C36:C38 E36:O38 D36:D37 B114:B142 AO142:AP143 C114:AN127 C129:AN143 AO119:AP119 AO125:AP125 AQ114:AR127 AQ129:AR143"/>
  </dataValidations>
  <pageMargins left="0.19685039370078741" right="0.19685039370078741" top="0.39370078740157483" bottom="0.39370078740157483" header="0" footer="0"/>
  <pageSetup paperSize="9" scale="54" orientation="landscape" r:id="rId1"/>
  <colBreaks count="3" manualBreakCount="3">
    <brk id="19" min="8" max="33" man="1"/>
    <brk id="22" min="68" max="101" man="1"/>
    <brk id="47" min="68" max="10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25</vt:i4>
      </vt:variant>
    </vt:vector>
  </HeadingPairs>
  <TitlesOfParts>
    <vt:vector size="34" baseType="lpstr">
      <vt:lpstr>Table 1</vt:lpstr>
      <vt:lpstr>Table 2a</vt:lpstr>
      <vt:lpstr>Table 2b</vt:lpstr>
      <vt:lpstr>Table 2c</vt:lpstr>
      <vt:lpstr>Table 3</vt:lpstr>
      <vt:lpstr>Table 4</vt:lpstr>
      <vt:lpstr>Table 5</vt:lpstr>
      <vt:lpstr>Monitoring</vt:lpstr>
      <vt:lpstr>Background</vt:lpstr>
      <vt:lpstr>Consol_Tol_FTE</vt:lpstr>
      <vt:lpstr>Consol_Tol_Per</vt:lpstr>
      <vt:lpstr>Controlled_Tol</vt:lpstr>
      <vt:lpstr>Early_Stats_1213</vt:lpstr>
      <vt:lpstr>Final_Figures_1213</vt:lpstr>
      <vt:lpstr>Inst_FPs</vt:lpstr>
      <vt:lpstr>Inst_Tables</vt:lpstr>
      <vt:lpstr>Intake_inconsistent</vt:lpstr>
      <vt:lpstr>Intake_missing</vt:lpstr>
      <vt:lpstr>'Table 2a'!Intake_too_high</vt:lpstr>
      <vt:lpstr>Non_controlled_Tol</vt:lpstr>
      <vt:lpstr>Only_intake_recorded</vt:lpstr>
      <vt:lpstr>Background!Print_Area</vt:lpstr>
      <vt:lpstr>Monitoring!Print_Area</vt:lpstr>
      <vt:lpstr>'Table 1'!Print_Area</vt:lpstr>
      <vt:lpstr>'Table 2a'!Print_Area</vt:lpstr>
      <vt:lpstr>'Table 2b'!Print_Area</vt:lpstr>
      <vt:lpstr>'Table 2c'!Print_Area</vt:lpstr>
      <vt:lpstr>'Table 3'!Print_Area</vt:lpstr>
      <vt:lpstr>'Table 4'!Print_Area</vt:lpstr>
      <vt:lpstr>'Table 5'!Print_Area</vt:lpstr>
      <vt:lpstr>Background!Print_Titles</vt:lpstr>
      <vt:lpstr>Monitoring!Print_Titles</vt:lpstr>
      <vt:lpstr>'Table 1'!Print_Titles</vt:lpstr>
      <vt:lpstr>'Table 5'!Print_Titles</vt:lpstr>
    </vt:vector>
  </TitlesOfParts>
  <Company>Scottish Funding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Dick</dc:creator>
  <cp:lastModifiedBy>Jacqueline Jack</cp:lastModifiedBy>
  <cp:lastPrinted>2013-12-12T08:46:37Z</cp:lastPrinted>
  <dcterms:created xsi:type="dcterms:W3CDTF">2004-10-22T07:49:06Z</dcterms:created>
  <dcterms:modified xsi:type="dcterms:W3CDTF">2015-03-23T16:18:20Z</dcterms:modified>
</cp:coreProperties>
</file>